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kvonberg/Downloads/"/>
    </mc:Choice>
  </mc:AlternateContent>
  <xr:revisionPtr revIDLastSave="0" documentId="13_ncr:1_{ECFAEAFA-0279-8B43-8E65-2EF672BA6EE3}" xr6:coauthVersionLast="47" xr6:coauthVersionMax="47" xr10:uidLastSave="{00000000-0000-0000-0000-000000000000}"/>
  <bookViews>
    <workbookView xWindow="0" yWindow="500" windowWidth="38020" windowHeight="19720" tabRatio="218" activeTab="5" xr2:uid="{00000000-000D-0000-FFFF-FFFF00000000}"/>
  </bookViews>
  <sheets>
    <sheet name="2018" sheetId="2" state="hidden" r:id="rId1"/>
    <sheet name="2019" sheetId="3" state="hidden" r:id="rId2"/>
    <sheet name="2020" sheetId="4" state="hidden" r:id="rId3"/>
    <sheet name="2021" sheetId="5" state="hidden" r:id="rId4"/>
    <sheet name="2022" sheetId="6" state="hidden" r:id="rId5"/>
    <sheet name="042825 Buying Guide" sheetId="7" r:id="rId6"/>
    <sheet name="inv2022jan1" sheetId="8" state="hidden" r:id="rId7"/>
    <sheet name="2023 inv" sheetId="9" state="hidden" r:id="rId8"/>
  </sheets>
  <definedNames>
    <definedName name="_xlnm._FilterDatabase" localSheetId="5" hidden="1">'042825 Buying Guide'!$A$10:$A$1003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Gr9dQORzMpzaeewUnffc6TqhBTwd5E6t7TFLKsS9QVk="/>
    </ext>
  </extLst>
</workbook>
</file>

<file path=xl/calcChain.xml><?xml version="1.0" encoding="utf-8"?>
<calcChain xmlns="http://schemas.openxmlformats.org/spreadsheetml/2006/main">
  <c r="G23" i="7" l="1"/>
  <c r="H23" i="7" s="1"/>
  <c r="I23" i="7" s="1"/>
  <c r="J23" i="7" s="1"/>
  <c r="K23" i="7" s="1"/>
  <c r="L23" i="7" s="1"/>
  <c r="M23" i="7" s="1"/>
  <c r="N23" i="7" s="1"/>
  <c r="O23" i="7" s="1"/>
  <c r="P23" i="7" s="1"/>
  <c r="Q23" i="7" s="1"/>
  <c r="R23" i="7" s="1"/>
  <c r="S23" i="7" s="1"/>
  <c r="T23" i="7" s="1"/>
  <c r="U23" i="7" s="1"/>
  <c r="V23" i="7" s="1"/>
  <c r="W23" i="7" s="1"/>
  <c r="X23" i="7" s="1"/>
  <c r="Y23" i="7" s="1"/>
  <c r="Z23" i="7" s="1"/>
  <c r="AA23" i="7" s="1"/>
  <c r="AB23" i="7" s="1"/>
  <c r="AC23" i="7" s="1"/>
  <c r="AD23" i="7" s="1"/>
  <c r="AE23" i="7" s="1"/>
  <c r="AF23" i="7" s="1"/>
  <c r="AG23" i="7" s="1"/>
  <c r="AH23" i="7" s="1"/>
  <c r="AI23" i="7" s="1"/>
  <c r="AJ23" i="7" s="1"/>
  <c r="AK23" i="7" s="1"/>
  <c r="AL23" i="7" s="1"/>
  <c r="AM23" i="7" s="1"/>
  <c r="AN23" i="7" s="1"/>
  <c r="AO23" i="7" s="1"/>
  <c r="AP23" i="7" s="1"/>
  <c r="AQ23" i="7" s="1"/>
  <c r="AR23" i="7" s="1"/>
  <c r="AS23" i="7" s="1"/>
  <c r="AT23" i="7" s="1"/>
  <c r="AU23" i="7" s="1"/>
  <c r="AV23" i="7" s="1"/>
  <c r="AW23" i="7" s="1"/>
  <c r="AX23" i="7" s="1"/>
  <c r="AY23" i="7" s="1"/>
  <c r="AZ23" i="7" s="1"/>
  <c r="BA23" i="7" s="1"/>
  <c r="BB23" i="7" s="1"/>
  <c r="BC23" i="7" s="1"/>
  <c r="BD23" i="7" s="1"/>
  <c r="G18" i="7"/>
  <c r="H18" i="7" s="1"/>
  <c r="G17" i="7"/>
  <c r="H17" i="7" s="1"/>
  <c r="I17" i="7" s="1"/>
  <c r="J17" i="7" s="1"/>
  <c r="K17" i="7" s="1"/>
  <c r="L17" i="7" s="1"/>
  <c r="M17" i="7" s="1"/>
  <c r="N17" i="7" s="1"/>
  <c r="O17" i="7" s="1"/>
  <c r="P17" i="7" s="1"/>
  <c r="Q17" i="7" s="1"/>
  <c r="R17" i="7" s="1"/>
  <c r="S17" i="7" s="1"/>
  <c r="T17" i="7" s="1"/>
  <c r="U17" i="7" s="1"/>
  <c r="V17" i="7" s="1"/>
  <c r="W17" i="7" s="1"/>
  <c r="X17" i="7" s="1"/>
  <c r="Y17" i="7" s="1"/>
  <c r="Z17" i="7" s="1"/>
  <c r="AA17" i="7" s="1"/>
  <c r="AB17" i="7" s="1"/>
  <c r="AC17" i="7" s="1"/>
  <c r="AD17" i="7" s="1"/>
  <c r="AE17" i="7" s="1"/>
  <c r="AF17" i="7" s="1"/>
  <c r="AG17" i="7" s="1"/>
  <c r="AH17" i="7" s="1"/>
  <c r="AI17" i="7" s="1"/>
  <c r="AJ17" i="7" s="1"/>
  <c r="AK17" i="7" s="1"/>
  <c r="AL17" i="7" s="1"/>
  <c r="AM17" i="7" s="1"/>
  <c r="AN17" i="7" s="1"/>
  <c r="AO17" i="7" s="1"/>
  <c r="AP17" i="7" s="1"/>
  <c r="AQ17" i="7" s="1"/>
  <c r="AR17" i="7" s="1"/>
  <c r="AS17" i="7" s="1"/>
  <c r="AT17" i="7" s="1"/>
  <c r="AU17" i="7" s="1"/>
  <c r="AV17" i="7" s="1"/>
  <c r="AW17" i="7" s="1"/>
  <c r="AX17" i="7" s="1"/>
  <c r="AY17" i="7" s="1"/>
  <c r="C13" i="9"/>
  <c r="F11" i="9"/>
  <c r="E11" i="9"/>
  <c r="F10" i="9"/>
  <c r="E10" i="9"/>
  <c r="F9" i="9"/>
  <c r="E9" i="9"/>
  <c r="F8" i="9"/>
  <c r="E8" i="9"/>
  <c r="F7" i="9"/>
  <c r="E7" i="9"/>
  <c r="F6" i="9"/>
  <c r="E6" i="9"/>
  <c r="F5" i="9"/>
  <c r="E5" i="9"/>
  <c r="F4" i="9"/>
  <c r="F13" i="9" s="1"/>
  <c r="E4" i="9"/>
  <c r="F3" i="9"/>
  <c r="E3" i="9"/>
  <c r="E13" i="9" s="1"/>
  <c r="C11" i="8"/>
  <c r="F10" i="8"/>
  <c r="E10" i="8"/>
  <c r="F9" i="8"/>
  <c r="E9" i="8"/>
  <c r="F8" i="8"/>
  <c r="E8" i="8"/>
  <c r="F7" i="8"/>
  <c r="E7" i="8"/>
  <c r="F6" i="8"/>
  <c r="E6" i="8"/>
  <c r="F5" i="8"/>
  <c r="E5" i="8"/>
  <c r="F4" i="8"/>
  <c r="E4" i="8"/>
  <c r="F3" i="8"/>
  <c r="F11" i="8" s="1"/>
  <c r="E3" i="8"/>
  <c r="E11" i="8" s="1"/>
  <c r="E13" i="8" s="1"/>
  <c r="G30" i="7"/>
  <c r="G31" i="7" s="1"/>
  <c r="G27" i="7"/>
  <c r="H27" i="7" s="1"/>
  <c r="G24" i="7"/>
  <c r="H24" i="7" s="1"/>
  <c r="I24" i="7" s="1"/>
  <c r="J24" i="7" s="1"/>
  <c r="K24" i="7" s="1"/>
  <c r="L24" i="7" s="1"/>
  <c r="M24" i="7" s="1"/>
  <c r="N24" i="7" s="1"/>
  <c r="O24" i="7" s="1"/>
  <c r="P24" i="7" s="1"/>
  <c r="Q24" i="7" s="1"/>
  <c r="R24" i="7" s="1"/>
  <c r="S24" i="7" s="1"/>
  <c r="T24" i="7" s="1"/>
  <c r="U24" i="7" s="1"/>
  <c r="V24" i="7" s="1"/>
  <c r="W24" i="7" s="1"/>
  <c r="X24" i="7" s="1"/>
  <c r="Y24" i="7" s="1"/>
  <c r="Z24" i="7" s="1"/>
  <c r="AA24" i="7" s="1"/>
  <c r="AB24" i="7" s="1"/>
  <c r="AC24" i="7" s="1"/>
  <c r="AD24" i="7" s="1"/>
  <c r="AE24" i="7" s="1"/>
  <c r="AF24" i="7" s="1"/>
  <c r="AG24" i="7" s="1"/>
  <c r="AH24" i="7" s="1"/>
  <c r="AI24" i="7" s="1"/>
  <c r="AJ24" i="7" s="1"/>
  <c r="AK24" i="7" s="1"/>
  <c r="AL24" i="7" s="1"/>
  <c r="AM24" i="7" s="1"/>
  <c r="AN24" i="7" s="1"/>
  <c r="AO24" i="7" s="1"/>
  <c r="AP24" i="7" s="1"/>
  <c r="AQ24" i="7" s="1"/>
  <c r="AR24" i="7" s="1"/>
  <c r="AS24" i="7" s="1"/>
  <c r="AT24" i="7" s="1"/>
  <c r="AU24" i="7" s="1"/>
  <c r="AV24" i="7" s="1"/>
  <c r="AW24" i="7" s="1"/>
  <c r="AX24" i="7" s="1"/>
  <c r="AY24" i="7" s="1"/>
  <c r="AZ24" i="7" s="1"/>
  <c r="BA24" i="7" s="1"/>
  <c r="BB24" i="7" s="1"/>
  <c r="BC24" i="7" s="1"/>
  <c r="BD24" i="7" s="1"/>
  <c r="G22" i="7"/>
  <c r="H22" i="7" s="1"/>
  <c r="H25" i="7" s="1"/>
  <c r="G21" i="7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21" i="7" s="1"/>
  <c r="AI21" i="7" s="1"/>
  <c r="AJ21" i="7" s="1"/>
  <c r="AK21" i="7" s="1"/>
  <c r="AL21" i="7" s="1"/>
  <c r="AM21" i="7" s="1"/>
  <c r="AN21" i="7" s="1"/>
  <c r="AO21" i="7" s="1"/>
  <c r="AP21" i="7" s="1"/>
  <c r="AQ21" i="7" s="1"/>
  <c r="AR21" i="7" s="1"/>
  <c r="AS21" i="7" s="1"/>
  <c r="AT21" i="7" s="1"/>
  <c r="AU21" i="7" s="1"/>
  <c r="AV21" i="7" s="1"/>
  <c r="AW21" i="7" s="1"/>
  <c r="AX21" i="7" s="1"/>
  <c r="AY21" i="7" s="1"/>
  <c r="AZ21" i="7" s="1"/>
  <c r="BA21" i="7" s="1"/>
  <c r="BB21" i="7" s="1"/>
  <c r="BC21" i="7" s="1"/>
  <c r="BD21" i="7" s="1"/>
  <c r="G14" i="7"/>
  <c r="G11" i="7"/>
  <c r="H11" i="7" s="1"/>
  <c r="AA152" i="6"/>
  <c r="AD151" i="6"/>
  <c r="AC151" i="6"/>
  <c r="AD150" i="6"/>
  <c r="AC150" i="6"/>
  <c r="AD149" i="6"/>
  <c r="AC149" i="6"/>
  <c r="AD148" i="6"/>
  <c r="AC148" i="6"/>
  <c r="AC152" i="6" s="1"/>
  <c r="AD147" i="6"/>
  <c r="AC147" i="6"/>
  <c r="AD146" i="6"/>
  <c r="AC146" i="6"/>
  <c r="AD145" i="6"/>
  <c r="AC145" i="6"/>
  <c r="AD144" i="6"/>
  <c r="AC144" i="6"/>
  <c r="AA132" i="6"/>
  <c r="AD131" i="6"/>
  <c r="AC131" i="6"/>
  <c r="AD130" i="6"/>
  <c r="AC130" i="6"/>
  <c r="AD129" i="6"/>
  <c r="AC129" i="6"/>
  <c r="AD128" i="6"/>
  <c r="AC128" i="6"/>
  <c r="AD127" i="6"/>
  <c r="AC127" i="6"/>
  <c r="AC132" i="6" s="1"/>
  <c r="AD126" i="6"/>
  <c r="AC126" i="6"/>
  <c r="AD125" i="6"/>
  <c r="AC125" i="6"/>
  <c r="AD124" i="6"/>
  <c r="AD132" i="6" s="1"/>
  <c r="AC124" i="6"/>
  <c r="Z118" i="6"/>
  <c r="N105" i="6"/>
  <c r="N104" i="6"/>
  <c r="N103" i="6"/>
  <c r="AA102" i="6"/>
  <c r="U102" i="6"/>
  <c r="N102" i="6"/>
  <c r="AD101" i="6"/>
  <c r="AC101" i="6"/>
  <c r="X101" i="6"/>
  <c r="W101" i="6"/>
  <c r="N101" i="6"/>
  <c r="AD100" i="6"/>
  <c r="AC100" i="6"/>
  <c r="X100" i="6"/>
  <c r="W100" i="6"/>
  <c r="N100" i="6"/>
  <c r="AD99" i="6"/>
  <c r="AC99" i="6"/>
  <c r="X99" i="6"/>
  <c r="W99" i="6"/>
  <c r="N99" i="6"/>
  <c r="AD98" i="6"/>
  <c r="AD102" i="6" s="1"/>
  <c r="AC98" i="6"/>
  <c r="X98" i="6"/>
  <c r="W98" i="6"/>
  <c r="N98" i="6"/>
  <c r="AD97" i="6"/>
  <c r="AC97" i="6"/>
  <c r="X97" i="6"/>
  <c r="W97" i="6"/>
  <c r="AD96" i="6"/>
  <c r="AC96" i="6"/>
  <c r="X96" i="6"/>
  <c r="W96" i="6"/>
  <c r="AD95" i="6"/>
  <c r="AC95" i="6"/>
  <c r="X95" i="6"/>
  <c r="W95" i="6"/>
  <c r="AD94" i="6"/>
  <c r="AC94" i="6"/>
  <c r="AC102" i="6" s="1"/>
  <c r="AC104" i="6" s="1"/>
  <c r="AC107" i="6" s="1"/>
  <c r="X94" i="6"/>
  <c r="W94" i="6"/>
  <c r="N92" i="6"/>
  <c r="U85" i="6"/>
  <c r="X84" i="6"/>
  <c r="W84" i="6"/>
  <c r="P84" i="6"/>
  <c r="O84" i="6"/>
  <c r="X83" i="6"/>
  <c r="W83" i="6"/>
  <c r="P83" i="6"/>
  <c r="O83" i="6"/>
  <c r="X82" i="6"/>
  <c r="W82" i="6"/>
  <c r="P82" i="6"/>
  <c r="O82" i="6"/>
  <c r="X81" i="6"/>
  <c r="W81" i="6"/>
  <c r="P81" i="6"/>
  <c r="O81" i="6"/>
  <c r="X80" i="6"/>
  <c r="W80" i="6"/>
  <c r="P80" i="6"/>
  <c r="O80" i="6"/>
  <c r="X79" i="6"/>
  <c r="W79" i="6"/>
  <c r="P79" i="6"/>
  <c r="O79" i="6"/>
  <c r="X78" i="6"/>
  <c r="W78" i="6"/>
  <c r="M78" i="6"/>
  <c r="X77" i="6"/>
  <c r="W77" i="6"/>
  <c r="W85" i="6" s="1"/>
  <c r="O77" i="6"/>
  <c r="M77" i="6"/>
  <c r="P77" i="6" s="1"/>
  <c r="D52" i="6"/>
  <c r="F52" i="6" s="1"/>
  <c r="H52" i="6" s="1"/>
  <c r="J52" i="6" s="1"/>
  <c r="L52" i="6" s="1"/>
  <c r="N52" i="6" s="1"/>
  <c r="P52" i="6" s="1"/>
  <c r="R52" i="6" s="1"/>
  <c r="T52" i="6" s="1"/>
  <c r="V52" i="6" s="1"/>
  <c r="X52" i="6" s="1"/>
  <c r="Z52" i="6" s="1"/>
  <c r="X51" i="6"/>
  <c r="V51" i="6"/>
  <c r="T51" i="6"/>
  <c r="R51" i="6"/>
  <c r="P51" i="6"/>
  <c r="N51" i="6"/>
  <c r="J51" i="6"/>
  <c r="AA49" i="6"/>
  <c r="Y49" i="6"/>
  <c r="W49" i="6"/>
  <c r="U49" i="6"/>
  <c r="S49" i="6"/>
  <c r="Q49" i="6"/>
  <c r="O49" i="6"/>
  <c r="M49" i="6"/>
  <c r="C49" i="6" s="1"/>
  <c r="K49" i="6"/>
  <c r="G49" i="6"/>
  <c r="E49" i="6"/>
  <c r="AA43" i="6"/>
  <c r="Y43" i="6"/>
  <c r="W43" i="6"/>
  <c r="U43" i="6"/>
  <c r="S43" i="6"/>
  <c r="Q43" i="6"/>
  <c r="O43" i="6"/>
  <c r="M43" i="6"/>
  <c r="K43" i="6"/>
  <c r="I43" i="6"/>
  <c r="G43" i="6"/>
  <c r="E43" i="6"/>
  <c r="B43" i="6"/>
  <c r="AC42" i="6"/>
  <c r="C42" i="6"/>
  <c r="AB41" i="6"/>
  <c r="Y41" i="6"/>
  <c r="U41" i="6"/>
  <c r="Q41" i="6"/>
  <c r="O41" i="6"/>
  <c r="M41" i="6"/>
  <c r="I41" i="6"/>
  <c r="G41" i="6"/>
  <c r="E41" i="6"/>
  <c r="C41" i="6"/>
  <c r="I40" i="6"/>
  <c r="H40" i="6"/>
  <c r="J40" i="6" s="1"/>
  <c r="G40" i="6"/>
  <c r="F40" i="6"/>
  <c r="E40" i="6"/>
  <c r="B40" i="6"/>
  <c r="W41" i="6" s="1"/>
  <c r="AG38" i="6"/>
  <c r="AE38" i="6"/>
  <c r="AA38" i="6"/>
  <c r="Y38" i="6"/>
  <c r="W38" i="6"/>
  <c r="U38" i="6"/>
  <c r="S38" i="6"/>
  <c r="Q38" i="6"/>
  <c r="O38" i="6"/>
  <c r="M38" i="6"/>
  <c r="K38" i="6"/>
  <c r="I38" i="6"/>
  <c r="G38" i="6"/>
  <c r="E38" i="6"/>
  <c r="B38" i="6"/>
  <c r="AC37" i="6"/>
  <c r="C37" i="6"/>
  <c r="AB36" i="6"/>
  <c r="AC38" i="6" s="1"/>
  <c r="AA36" i="6"/>
  <c r="S36" i="6"/>
  <c r="M36" i="6"/>
  <c r="C36" i="6"/>
  <c r="G35" i="6"/>
  <c r="F35" i="6"/>
  <c r="H35" i="6" s="1"/>
  <c r="E35" i="6"/>
  <c r="B35" i="6"/>
  <c r="U36" i="6" s="1"/>
  <c r="AA34" i="6"/>
  <c r="Y34" i="6"/>
  <c r="W34" i="6"/>
  <c r="U34" i="6"/>
  <c r="S34" i="6"/>
  <c r="Q34" i="6"/>
  <c r="O34" i="6"/>
  <c r="M34" i="6"/>
  <c r="K34" i="6"/>
  <c r="I34" i="6"/>
  <c r="G34" i="6"/>
  <c r="E34" i="6"/>
  <c r="B34" i="6"/>
  <c r="AC33" i="6"/>
  <c r="C33" i="6"/>
  <c r="AB32" i="6"/>
  <c r="AA32" i="6"/>
  <c r="U32" i="6"/>
  <c r="Q32" i="6"/>
  <c r="O32" i="6"/>
  <c r="M32" i="6"/>
  <c r="I32" i="6"/>
  <c r="G32" i="6"/>
  <c r="E32" i="6"/>
  <c r="C32" i="6"/>
  <c r="F31" i="6"/>
  <c r="G31" i="6" s="1"/>
  <c r="E31" i="6"/>
  <c r="B31" i="6"/>
  <c r="K32" i="6" s="1"/>
  <c r="AA29" i="6"/>
  <c r="Y29" i="6"/>
  <c r="W29" i="6"/>
  <c r="U29" i="6"/>
  <c r="S29" i="6"/>
  <c r="Q29" i="6"/>
  <c r="O29" i="6"/>
  <c r="M29" i="6"/>
  <c r="K29" i="6"/>
  <c r="I29" i="6"/>
  <c r="G29" i="6"/>
  <c r="E29" i="6"/>
  <c r="B29" i="6"/>
  <c r="AC28" i="6"/>
  <c r="C28" i="6"/>
  <c r="AB27" i="6"/>
  <c r="AA27" i="6"/>
  <c r="Y27" i="6"/>
  <c r="W27" i="6"/>
  <c r="U27" i="6"/>
  <c r="S27" i="6"/>
  <c r="Q27" i="6"/>
  <c r="O27" i="6"/>
  <c r="M27" i="6"/>
  <c r="K27" i="6"/>
  <c r="I27" i="6"/>
  <c r="G27" i="6"/>
  <c r="AC27" i="6" s="1"/>
  <c r="E27" i="6"/>
  <c r="C27" i="6"/>
  <c r="H26" i="6"/>
  <c r="G26" i="6"/>
  <c r="F26" i="6"/>
  <c r="E26" i="6"/>
  <c r="AA25" i="6"/>
  <c r="Y25" i="6"/>
  <c r="W25" i="6"/>
  <c r="U25" i="6"/>
  <c r="S25" i="6"/>
  <c r="Q25" i="6"/>
  <c r="O25" i="6"/>
  <c r="M25" i="6"/>
  <c r="K25" i="6"/>
  <c r="I25" i="6"/>
  <c r="G25" i="6"/>
  <c r="E25" i="6"/>
  <c r="B25" i="6"/>
  <c r="AC24" i="6"/>
  <c r="C24" i="6"/>
  <c r="AB23" i="6"/>
  <c r="C23" i="6"/>
  <c r="I22" i="6"/>
  <c r="H22" i="6"/>
  <c r="J22" i="6" s="1"/>
  <c r="L22" i="6" s="1"/>
  <c r="F22" i="6"/>
  <c r="G22" i="6" s="1"/>
  <c r="E22" i="6"/>
  <c r="D22" i="6"/>
  <c r="B22" i="6"/>
  <c r="AA21" i="6"/>
  <c r="Y21" i="6"/>
  <c r="W21" i="6"/>
  <c r="U21" i="6"/>
  <c r="S21" i="6"/>
  <c r="Q21" i="6"/>
  <c r="O21" i="6"/>
  <c r="M21" i="6"/>
  <c r="K21" i="6"/>
  <c r="I21" i="6"/>
  <c r="G21" i="6"/>
  <c r="E21" i="6"/>
  <c r="B21" i="6"/>
  <c r="AC20" i="6"/>
  <c r="C20" i="6"/>
  <c r="AB19" i="6"/>
  <c r="AA19" i="6"/>
  <c r="Y19" i="6"/>
  <c r="O19" i="6"/>
  <c r="M19" i="6"/>
  <c r="G19" i="6"/>
  <c r="C19" i="6"/>
  <c r="F18" i="6"/>
  <c r="G18" i="6" s="1"/>
  <c r="E18" i="6"/>
  <c r="D18" i="6"/>
  <c r="B18" i="6"/>
  <c r="I19" i="6" s="1"/>
  <c r="AA16" i="6"/>
  <c r="Y16" i="6"/>
  <c r="W16" i="6"/>
  <c r="U16" i="6"/>
  <c r="S16" i="6"/>
  <c r="Q16" i="6"/>
  <c r="O16" i="6"/>
  <c r="M16" i="6"/>
  <c r="K16" i="6"/>
  <c r="I16" i="6"/>
  <c r="G16" i="6"/>
  <c r="E16" i="6"/>
  <c r="B16" i="6"/>
  <c r="AC15" i="6"/>
  <c r="AD15" i="6" s="1"/>
  <c r="C15" i="6"/>
  <c r="AB14" i="6"/>
  <c r="AA14" i="6"/>
  <c r="W14" i="6"/>
  <c r="K14" i="6"/>
  <c r="C14" i="6"/>
  <c r="F13" i="6"/>
  <c r="E13" i="6"/>
  <c r="B13" i="6"/>
  <c r="AA12" i="6"/>
  <c r="Y12" i="6"/>
  <c r="W12" i="6"/>
  <c r="U12" i="6"/>
  <c r="S12" i="6"/>
  <c r="Q12" i="6"/>
  <c r="O12" i="6"/>
  <c r="M12" i="6"/>
  <c r="K12" i="6"/>
  <c r="I12" i="6"/>
  <c r="G12" i="6"/>
  <c r="E12" i="6"/>
  <c r="B12" i="6"/>
  <c r="AC11" i="6"/>
  <c r="AD11" i="6" s="1"/>
  <c r="C11" i="6"/>
  <c r="AB10" i="6"/>
  <c r="AA10" i="6"/>
  <c r="W10" i="6"/>
  <c r="S10" i="6"/>
  <c r="O10" i="6"/>
  <c r="M10" i="6"/>
  <c r="K10" i="6"/>
  <c r="I10" i="6"/>
  <c r="C10" i="6"/>
  <c r="D9" i="6"/>
  <c r="F9" i="6" s="1"/>
  <c r="B9" i="6"/>
  <c r="G10" i="6" s="1"/>
  <c r="AA8" i="6"/>
  <c r="Y8" i="6"/>
  <c r="W8" i="6"/>
  <c r="U8" i="6"/>
  <c r="S8" i="6"/>
  <c r="Q8" i="6"/>
  <c r="O8" i="6"/>
  <c r="M8" i="6"/>
  <c r="K8" i="6"/>
  <c r="I8" i="6"/>
  <c r="G8" i="6"/>
  <c r="E8" i="6"/>
  <c r="B8" i="6"/>
  <c r="AC7" i="6"/>
  <c r="AD7" i="6" s="1"/>
  <c r="C7" i="6"/>
  <c r="AB6" i="6"/>
  <c r="S6" i="6"/>
  <c r="O6" i="6"/>
  <c r="K6" i="6"/>
  <c r="I6" i="6"/>
  <c r="G6" i="6"/>
  <c r="E6" i="6"/>
  <c r="C6" i="6"/>
  <c r="H5" i="6"/>
  <c r="I5" i="6" s="1"/>
  <c r="G5" i="6"/>
  <c r="F5" i="6"/>
  <c r="E5" i="6"/>
  <c r="B5" i="6"/>
  <c r="AA6" i="6" s="1"/>
  <c r="N134" i="5"/>
  <c r="M132" i="5"/>
  <c r="O131" i="5"/>
  <c r="P131" i="5" s="1"/>
  <c r="N131" i="5"/>
  <c r="P130" i="5"/>
  <c r="O130" i="5"/>
  <c r="N130" i="5"/>
  <c r="O129" i="5"/>
  <c r="P129" i="5" s="1"/>
  <c r="N129" i="5"/>
  <c r="P128" i="5"/>
  <c r="O128" i="5"/>
  <c r="N128" i="5"/>
  <c r="O127" i="5"/>
  <c r="P127" i="5" s="1"/>
  <c r="N127" i="5"/>
  <c r="P126" i="5"/>
  <c r="O126" i="5"/>
  <c r="N126" i="5"/>
  <c r="O125" i="5"/>
  <c r="P125" i="5" s="1"/>
  <c r="N125" i="5"/>
  <c r="P124" i="5"/>
  <c r="O124" i="5"/>
  <c r="N124" i="5"/>
  <c r="O123" i="5"/>
  <c r="P123" i="5" s="1"/>
  <c r="N123" i="5"/>
  <c r="N132" i="5" s="1"/>
  <c r="N106" i="5"/>
  <c r="N93" i="5" s="1"/>
  <c r="N105" i="5"/>
  <c r="N104" i="5"/>
  <c r="N103" i="5"/>
  <c r="N102" i="5"/>
  <c r="N101" i="5"/>
  <c r="N100" i="5"/>
  <c r="N99" i="5"/>
  <c r="N98" i="5"/>
  <c r="O103" i="5" s="1"/>
  <c r="Q103" i="5" s="1"/>
  <c r="N92" i="5"/>
  <c r="W86" i="5"/>
  <c r="AA85" i="5"/>
  <c r="W85" i="5"/>
  <c r="U85" i="5"/>
  <c r="AD84" i="5"/>
  <c r="AC84" i="5"/>
  <c r="X84" i="5"/>
  <c r="W84" i="5"/>
  <c r="P84" i="5"/>
  <c r="O84" i="5"/>
  <c r="AD83" i="5"/>
  <c r="AC83" i="5"/>
  <c r="X83" i="5"/>
  <c r="W83" i="5"/>
  <c r="P83" i="5"/>
  <c r="O83" i="5"/>
  <c r="AD82" i="5"/>
  <c r="AC82" i="5"/>
  <c r="X82" i="5"/>
  <c r="W82" i="5"/>
  <c r="P82" i="5"/>
  <c r="O82" i="5"/>
  <c r="AD81" i="5"/>
  <c r="AC81" i="5"/>
  <c r="X81" i="5"/>
  <c r="W81" i="5"/>
  <c r="P81" i="5"/>
  <c r="O81" i="5"/>
  <c r="AD80" i="5"/>
  <c r="AC80" i="5"/>
  <c r="X80" i="5"/>
  <c r="W80" i="5"/>
  <c r="P80" i="5"/>
  <c r="O80" i="5"/>
  <c r="AD79" i="5"/>
  <c r="AC79" i="5"/>
  <c r="X79" i="5"/>
  <c r="X85" i="5" s="1"/>
  <c r="W79" i="5"/>
  <c r="P79" i="5"/>
  <c r="O79" i="5"/>
  <c r="AD78" i="5"/>
  <c r="AC78" i="5"/>
  <c r="X78" i="5"/>
  <c r="W78" i="5"/>
  <c r="M78" i="5"/>
  <c r="AD77" i="5"/>
  <c r="AD85" i="5" s="1"/>
  <c r="AC77" i="5"/>
  <c r="AC85" i="5" s="1"/>
  <c r="AC87" i="5" s="1"/>
  <c r="X77" i="5"/>
  <c r="W77" i="5"/>
  <c r="P77" i="5"/>
  <c r="O77" i="5"/>
  <c r="M77" i="5"/>
  <c r="M85" i="5" s="1"/>
  <c r="AA58" i="5"/>
  <c r="L52" i="5"/>
  <c r="N52" i="5" s="1"/>
  <c r="P52" i="5" s="1"/>
  <c r="F52" i="5"/>
  <c r="H52" i="5" s="1"/>
  <c r="J52" i="5" s="1"/>
  <c r="D52" i="5"/>
  <c r="X51" i="5"/>
  <c r="V51" i="5"/>
  <c r="T51" i="5"/>
  <c r="R51" i="5"/>
  <c r="R52" i="5" s="1"/>
  <c r="T52" i="5" s="1"/>
  <c r="V52" i="5" s="1"/>
  <c r="X52" i="5" s="1"/>
  <c r="Z52" i="5" s="1"/>
  <c r="P51" i="5"/>
  <c r="N51" i="5"/>
  <c r="J51" i="5"/>
  <c r="AA49" i="5"/>
  <c r="Y49" i="5"/>
  <c r="W49" i="5"/>
  <c r="U49" i="5"/>
  <c r="S49" i="5"/>
  <c r="Q49" i="5"/>
  <c r="O49" i="5"/>
  <c r="C49" i="5" s="1"/>
  <c r="M49" i="5"/>
  <c r="K49" i="5"/>
  <c r="I49" i="5"/>
  <c r="G49" i="5"/>
  <c r="E49" i="5"/>
  <c r="AA43" i="5"/>
  <c r="Y43" i="5"/>
  <c r="W43" i="5"/>
  <c r="U43" i="5"/>
  <c r="S43" i="5"/>
  <c r="Q43" i="5"/>
  <c r="O43" i="5"/>
  <c r="M43" i="5"/>
  <c r="K43" i="5"/>
  <c r="I43" i="5"/>
  <c r="G43" i="5"/>
  <c r="E43" i="5"/>
  <c r="B43" i="5"/>
  <c r="C42" i="5"/>
  <c r="AB41" i="5"/>
  <c r="S41" i="5"/>
  <c r="K41" i="5"/>
  <c r="I41" i="5"/>
  <c r="G41" i="5"/>
  <c r="C41" i="5"/>
  <c r="H40" i="5"/>
  <c r="I40" i="5" s="1"/>
  <c r="D40" i="5"/>
  <c r="F40" i="5" s="1"/>
  <c r="G40" i="5" s="1"/>
  <c r="B40" i="5"/>
  <c r="AA41" i="5" s="1"/>
  <c r="AG38" i="5"/>
  <c r="AE38" i="5"/>
  <c r="AA38" i="5"/>
  <c r="Y38" i="5"/>
  <c r="W38" i="5"/>
  <c r="U38" i="5"/>
  <c r="S38" i="5"/>
  <c r="Q38" i="5"/>
  <c r="O38" i="5"/>
  <c r="M38" i="5"/>
  <c r="K38" i="5"/>
  <c r="I38" i="5"/>
  <c r="G38" i="5"/>
  <c r="E38" i="5"/>
  <c r="B38" i="5"/>
  <c r="C37" i="5"/>
  <c r="AB36" i="5"/>
  <c r="AC38" i="5" s="1"/>
  <c r="Q36" i="5"/>
  <c r="I36" i="5"/>
  <c r="G36" i="5"/>
  <c r="E36" i="5"/>
  <c r="C36" i="5"/>
  <c r="D35" i="5"/>
  <c r="E35" i="5" s="1"/>
  <c r="B35" i="5"/>
  <c r="Y36" i="5" s="1"/>
  <c r="AA34" i="5"/>
  <c r="Y34" i="5"/>
  <c r="W34" i="5"/>
  <c r="U34" i="5"/>
  <c r="S34" i="5"/>
  <c r="Q34" i="5"/>
  <c r="O34" i="5"/>
  <c r="M34" i="5"/>
  <c r="K34" i="5"/>
  <c r="I34" i="5"/>
  <c r="G34" i="5"/>
  <c r="E34" i="5"/>
  <c r="B34" i="5"/>
  <c r="C33" i="5"/>
  <c r="AB32" i="5"/>
  <c r="Y32" i="5"/>
  <c r="C32" i="5"/>
  <c r="E31" i="5"/>
  <c r="D31" i="5"/>
  <c r="F31" i="5" s="1"/>
  <c r="B31" i="5"/>
  <c r="AA29" i="5"/>
  <c r="Y29" i="5"/>
  <c r="W29" i="5"/>
  <c r="U29" i="5"/>
  <c r="S29" i="5"/>
  <c r="Q29" i="5"/>
  <c r="O29" i="5"/>
  <c r="M29" i="5"/>
  <c r="K29" i="5"/>
  <c r="I29" i="5"/>
  <c r="G29" i="5"/>
  <c r="E29" i="5"/>
  <c r="B29" i="5"/>
  <c r="C28" i="5"/>
  <c r="AB27" i="5"/>
  <c r="AA27" i="5"/>
  <c r="Y27" i="5"/>
  <c r="Q27" i="5"/>
  <c r="O27" i="5"/>
  <c r="M27" i="5"/>
  <c r="C27" i="5"/>
  <c r="F26" i="5"/>
  <c r="H26" i="5" s="1"/>
  <c r="E26" i="5"/>
  <c r="D26" i="5"/>
  <c r="B26" i="5"/>
  <c r="I27" i="5" s="1"/>
  <c r="AA25" i="5"/>
  <c r="Y25" i="5"/>
  <c r="W25" i="5"/>
  <c r="U25" i="5"/>
  <c r="S25" i="5"/>
  <c r="Q25" i="5"/>
  <c r="O25" i="5"/>
  <c r="M25" i="5"/>
  <c r="K25" i="5"/>
  <c r="I25" i="5"/>
  <c r="G25" i="5"/>
  <c r="E25" i="5"/>
  <c r="B25" i="5"/>
  <c r="C24" i="5"/>
  <c r="AB23" i="5"/>
  <c r="S23" i="5"/>
  <c r="Q23" i="5"/>
  <c r="I23" i="5"/>
  <c r="G23" i="5"/>
  <c r="E23" i="5"/>
  <c r="C23" i="5"/>
  <c r="I22" i="5"/>
  <c r="H22" i="5"/>
  <c r="J22" i="5" s="1"/>
  <c r="G22" i="5"/>
  <c r="F22" i="5"/>
  <c r="E22" i="5"/>
  <c r="D22" i="5"/>
  <c r="B22" i="5"/>
  <c r="Y23" i="5" s="1"/>
  <c r="AA21" i="5"/>
  <c r="Y21" i="5"/>
  <c r="W21" i="5"/>
  <c r="U21" i="5"/>
  <c r="S21" i="5"/>
  <c r="Q21" i="5"/>
  <c r="O21" i="5"/>
  <c r="M21" i="5"/>
  <c r="K21" i="5"/>
  <c r="I21" i="5"/>
  <c r="G21" i="5"/>
  <c r="E21" i="5"/>
  <c r="B21" i="5"/>
  <c r="C20" i="5"/>
  <c r="AB19" i="5"/>
  <c r="C19" i="5"/>
  <c r="E18" i="5"/>
  <c r="D18" i="5"/>
  <c r="F18" i="5" s="1"/>
  <c r="B18" i="5"/>
  <c r="AA16" i="5"/>
  <c r="Y16" i="5"/>
  <c r="W16" i="5"/>
  <c r="U16" i="5"/>
  <c r="S16" i="5"/>
  <c r="Q16" i="5"/>
  <c r="O16" i="5"/>
  <c r="M16" i="5"/>
  <c r="K16" i="5"/>
  <c r="I16" i="5"/>
  <c r="G16" i="5"/>
  <c r="E16" i="5"/>
  <c r="B16" i="5"/>
  <c r="AC15" i="5"/>
  <c r="C15" i="5"/>
  <c r="AB14" i="5"/>
  <c r="U14" i="5"/>
  <c r="E14" i="5"/>
  <c r="C14" i="5"/>
  <c r="H13" i="5"/>
  <c r="J13" i="5" s="1"/>
  <c r="G13" i="5"/>
  <c r="F13" i="5"/>
  <c r="D13" i="5"/>
  <c r="E13" i="5" s="1"/>
  <c r="B13" i="5"/>
  <c r="AA12" i="5"/>
  <c r="Y12" i="5"/>
  <c r="W12" i="5"/>
  <c r="U12" i="5"/>
  <c r="S12" i="5"/>
  <c r="Q12" i="5"/>
  <c r="O12" i="5"/>
  <c r="M12" i="5"/>
  <c r="K12" i="5"/>
  <c r="I12" i="5"/>
  <c r="G12" i="5"/>
  <c r="E12" i="5"/>
  <c r="B12" i="5"/>
  <c r="AD11" i="5"/>
  <c r="AC11" i="5"/>
  <c r="C11" i="5"/>
  <c r="AB10" i="5"/>
  <c r="AA10" i="5"/>
  <c r="Y10" i="5"/>
  <c r="Q10" i="5"/>
  <c r="O10" i="5"/>
  <c r="M10" i="5"/>
  <c r="C10" i="5"/>
  <c r="F9" i="5"/>
  <c r="H9" i="5" s="1"/>
  <c r="E9" i="5"/>
  <c r="D9" i="5"/>
  <c r="B9" i="5"/>
  <c r="I10" i="5" s="1"/>
  <c r="AA8" i="5"/>
  <c r="Y8" i="5"/>
  <c r="W8" i="5"/>
  <c r="U8" i="5"/>
  <c r="S8" i="5"/>
  <c r="Q8" i="5"/>
  <c r="O8" i="5"/>
  <c r="M8" i="5"/>
  <c r="K8" i="5"/>
  <c r="I8" i="5"/>
  <c r="G8" i="5"/>
  <c r="E8" i="5"/>
  <c r="B8" i="5"/>
  <c r="AD7" i="5"/>
  <c r="AC7" i="5"/>
  <c r="C7" i="5"/>
  <c r="AB6" i="5"/>
  <c r="C6" i="5"/>
  <c r="C44" i="5" s="1"/>
  <c r="D5" i="5"/>
  <c r="F5" i="5" s="1"/>
  <c r="B5" i="5"/>
  <c r="Y74" i="4"/>
  <c r="W74" i="4"/>
  <c r="Z73" i="4"/>
  <c r="Y73" i="4"/>
  <c r="Z72" i="4"/>
  <c r="Y72" i="4"/>
  <c r="Z71" i="4"/>
  <c r="Y71" i="4"/>
  <c r="Z70" i="4"/>
  <c r="Y70" i="4"/>
  <c r="Z69" i="4"/>
  <c r="Y69" i="4"/>
  <c r="Z68" i="4"/>
  <c r="Y68" i="4"/>
  <c r="Z67" i="4"/>
  <c r="Y67" i="4"/>
  <c r="Z66" i="4"/>
  <c r="Y66" i="4"/>
  <c r="O58" i="4"/>
  <c r="R57" i="4"/>
  <c r="Q57" i="4"/>
  <c r="K57" i="4"/>
  <c r="R56" i="4"/>
  <c r="Q56" i="4"/>
  <c r="K56" i="4"/>
  <c r="R55" i="4"/>
  <c r="Q55" i="4"/>
  <c r="K55" i="4"/>
  <c r="R54" i="4"/>
  <c r="Q54" i="4"/>
  <c r="K54" i="4"/>
  <c r="F54" i="4"/>
  <c r="R53" i="4"/>
  <c r="Q53" i="4"/>
  <c r="K53" i="4"/>
  <c r="R52" i="4"/>
  <c r="Q52" i="4"/>
  <c r="K52" i="4"/>
  <c r="R51" i="4"/>
  <c r="Q51" i="4"/>
  <c r="K51" i="4"/>
  <c r="R50" i="4"/>
  <c r="R58" i="4" s="1"/>
  <c r="Q50" i="4"/>
  <c r="Q58" i="4" s="1"/>
  <c r="K50" i="4"/>
  <c r="O43" i="4"/>
  <c r="F43" i="4"/>
  <c r="H43" i="4" s="1"/>
  <c r="J43" i="4" s="1"/>
  <c r="L43" i="4" s="1"/>
  <c r="N43" i="4" s="1"/>
  <c r="P43" i="4" s="1"/>
  <c r="R43" i="4" s="1"/>
  <c r="T43" i="4" s="1"/>
  <c r="D43" i="4"/>
  <c r="Z42" i="4"/>
  <c r="X42" i="4"/>
  <c r="V42" i="4"/>
  <c r="T42" i="4"/>
  <c r="R42" i="4"/>
  <c r="P42" i="4"/>
  <c r="N42" i="4"/>
  <c r="H42" i="4"/>
  <c r="AA40" i="4"/>
  <c r="Z40" i="4"/>
  <c r="Y40" i="4"/>
  <c r="W40" i="4"/>
  <c r="U40" i="4"/>
  <c r="S40" i="4"/>
  <c r="Q40" i="4"/>
  <c r="O40" i="4"/>
  <c r="M40" i="4"/>
  <c r="K40" i="4"/>
  <c r="I40" i="4"/>
  <c r="G40" i="4"/>
  <c r="E40" i="4"/>
  <c r="K39" i="4"/>
  <c r="K41" i="4" s="1"/>
  <c r="K43" i="4" s="1"/>
  <c r="AC34" i="4"/>
  <c r="AD34" i="4" s="1"/>
  <c r="C34" i="4"/>
  <c r="AH33" i="4"/>
  <c r="AB33" i="4"/>
  <c r="AA33" i="4"/>
  <c r="Y33" i="4"/>
  <c r="W33" i="4"/>
  <c r="U33" i="4"/>
  <c r="S33" i="4"/>
  <c r="Q33" i="4"/>
  <c r="O33" i="4"/>
  <c r="M33" i="4"/>
  <c r="K33" i="4"/>
  <c r="I33" i="4"/>
  <c r="G33" i="4"/>
  <c r="E33" i="4"/>
  <c r="C33" i="4"/>
  <c r="F32" i="4"/>
  <c r="G32" i="4" s="1"/>
  <c r="E32" i="4"/>
  <c r="AC30" i="4"/>
  <c r="AD30" i="4" s="1"/>
  <c r="C30" i="4"/>
  <c r="AH29" i="4"/>
  <c r="AH30" i="4" s="1"/>
  <c r="AH32" i="4" s="1"/>
  <c r="AB29" i="4"/>
  <c r="AA29" i="4"/>
  <c r="Y29" i="4"/>
  <c r="W29" i="4"/>
  <c r="U29" i="4"/>
  <c r="S29" i="4"/>
  <c r="Q29" i="4"/>
  <c r="O29" i="4"/>
  <c r="M29" i="4"/>
  <c r="K29" i="4"/>
  <c r="I29" i="4"/>
  <c r="G29" i="4"/>
  <c r="AC29" i="4" s="1"/>
  <c r="E29" i="4"/>
  <c r="AL29" i="4" s="1"/>
  <c r="C29" i="4"/>
  <c r="H28" i="4"/>
  <c r="J28" i="4" s="1"/>
  <c r="G28" i="4"/>
  <c r="F28" i="4"/>
  <c r="E28" i="4"/>
  <c r="AC27" i="4"/>
  <c r="AD27" i="4" s="1"/>
  <c r="AN27" i="4" s="1"/>
  <c r="C27" i="4"/>
  <c r="AP26" i="4"/>
  <c r="AN26" i="4"/>
  <c r="AB26" i="4"/>
  <c r="AA26" i="4"/>
  <c r="Y26" i="4"/>
  <c r="W26" i="4"/>
  <c r="U26" i="4"/>
  <c r="S26" i="4"/>
  <c r="Q26" i="4"/>
  <c r="O26" i="4"/>
  <c r="M26" i="4"/>
  <c r="K26" i="4"/>
  <c r="I26" i="4"/>
  <c r="G26" i="4"/>
  <c r="AC26" i="4" s="1"/>
  <c r="E26" i="4"/>
  <c r="C26" i="4"/>
  <c r="F25" i="4"/>
  <c r="G25" i="4" s="1"/>
  <c r="E25" i="4"/>
  <c r="AP24" i="4"/>
  <c r="BF23" i="4"/>
  <c r="BE23" i="4"/>
  <c r="BD23" i="4"/>
  <c r="BC23" i="4"/>
  <c r="BB23" i="4"/>
  <c r="BA23" i="4"/>
  <c r="BH23" i="4" s="1"/>
  <c r="BL23" i="4" s="1"/>
  <c r="AD23" i="4"/>
  <c r="AN23" i="4" s="1"/>
  <c r="AC23" i="4"/>
  <c r="C23" i="4"/>
  <c r="AP22" i="4"/>
  <c r="AB22" i="4"/>
  <c r="AA22" i="4"/>
  <c r="Y22" i="4"/>
  <c r="W22" i="4"/>
  <c r="U22" i="4"/>
  <c r="S22" i="4"/>
  <c r="Q22" i="4"/>
  <c r="O22" i="4"/>
  <c r="M22" i="4"/>
  <c r="K22" i="4"/>
  <c r="I22" i="4"/>
  <c r="G22" i="4"/>
  <c r="E22" i="4"/>
  <c r="C22" i="4"/>
  <c r="H21" i="4"/>
  <c r="G21" i="4"/>
  <c r="F21" i="4"/>
  <c r="E21" i="4"/>
  <c r="AC20" i="4"/>
  <c r="AD20" i="4" s="1"/>
  <c r="C20" i="4"/>
  <c r="AB19" i="4"/>
  <c r="AA19" i="4"/>
  <c r="Y19" i="4"/>
  <c r="W19" i="4"/>
  <c r="U19" i="4"/>
  <c r="S19" i="4"/>
  <c r="Q19" i="4"/>
  <c r="O19" i="4"/>
  <c r="M19" i="4"/>
  <c r="K19" i="4"/>
  <c r="I19" i="4"/>
  <c r="G19" i="4"/>
  <c r="E19" i="4"/>
  <c r="C19" i="4"/>
  <c r="G18" i="4"/>
  <c r="F18" i="4"/>
  <c r="H18" i="4" s="1"/>
  <c r="E18" i="4"/>
  <c r="AC17" i="4"/>
  <c r="C17" i="4"/>
  <c r="AB16" i="4"/>
  <c r="AA16" i="4"/>
  <c r="Y16" i="4"/>
  <c r="W16" i="4"/>
  <c r="U16" i="4"/>
  <c r="S16" i="4"/>
  <c r="Q16" i="4"/>
  <c r="O16" i="4"/>
  <c r="M16" i="4"/>
  <c r="K16" i="4"/>
  <c r="I16" i="4"/>
  <c r="G16" i="4"/>
  <c r="AC16" i="4" s="1"/>
  <c r="E16" i="4"/>
  <c r="C16" i="4"/>
  <c r="F15" i="4"/>
  <c r="H15" i="4" s="1"/>
  <c r="E15" i="4"/>
  <c r="AP14" i="4"/>
  <c r="AC13" i="4"/>
  <c r="AD13" i="4" s="1"/>
  <c r="AN13" i="4" s="1"/>
  <c r="C13" i="4"/>
  <c r="AB12" i="4"/>
  <c r="AA12" i="4"/>
  <c r="AA39" i="4" s="1"/>
  <c r="AA41" i="4" s="1"/>
  <c r="AA43" i="4" s="1"/>
  <c r="Y12" i="4"/>
  <c r="W12" i="4"/>
  <c r="U12" i="4"/>
  <c r="S12" i="4"/>
  <c r="Q12" i="4"/>
  <c r="O12" i="4"/>
  <c r="M12" i="4"/>
  <c r="K12" i="4"/>
  <c r="I12" i="4"/>
  <c r="G12" i="4"/>
  <c r="E12" i="4"/>
  <c r="C12" i="4"/>
  <c r="I11" i="4"/>
  <c r="H11" i="4"/>
  <c r="J11" i="4" s="1"/>
  <c r="G11" i="4"/>
  <c r="F11" i="4"/>
  <c r="E11" i="4"/>
  <c r="BF10" i="4"/>
  <c r="BE10" i="4"/>
  <c r="BD10" i="4"/>
  <c r="BC10" i="4"/>
  <c r="BB10" i="4"/>
  <c r="BA10" i="4"/>
  <c r="BH10" i="4" s="1"/>
  <c r="BL10" i="4" s="1"/>
  <c r="AC10" i="4"/>
  <c r="AD10" i="4" s="1"/>
  <c r="C10" i="4"/>
  <c r="AB9" i="4"/>
  <c r="AA9" i="4"/>
  <c r="Y9" i="4"/>
  <c r="W9" i="4"/>
  <c r="U9" i="4"/>
  <c r="S9" i="4"/>
  <c r="Q9" i="4"/>
  <c r="O9" i="4"/>
  <c r="M9" i="4"/>
  <c r="K9" i="4"/>
  <c r="I9" i="4"/>
  <c r="G9" i="4"/>
  <c r="AN9" i="4" s="1"/>
  <c r="E9" i="4"/>
  <c r="C9" i="4"/>
  <c r="BH8" i="4"/>
  <c r="AP8" i="4"/>
  <c r="H8" i="4"/>
  <c r="I8" i="4" s="1"/>
  <c r="F8" i="4"/>
  <c r="G8" i="4" s="1"/>
  <c r="E8" i="4"/>
  <c r="AC7" i="4"/>
  <c r="C7" i="4"/>
  <c r="AB6" i="4"/>
  <c r="AA6" i="4"/>
  <c r="Y6" i="4"/>
  <c r="Y39" i="4" s="1"/>
  <c r="Y41" i="4" s="1"/>
  <c r="Y43" i="4" s="1"/>
  <c r="W6" i="4"/>
  <c r="U6" i="4"/>
  <c r="U39" i="4" s="1"/>
  <c r="U41" i="4" s="1"/>
  <c r="U43" i="4" s="1"/>
  <c r="S6" i="4"/>
  <c r="Q6" i="4"/>
  <c r="Q39" i="4" s="1"/>
  <c r="Q41" i="4" s="1"/>
  <c r="Q43" i="4" s="1"/>
  <c r="O6" i="4"/>
  <c r="O39" i="4" s="1"/>
  <c r="O41" i="4" s="1"/>
  <c r="M6" i="4"/>
  <c r="K6" i="4"/>
  <c r="I6" i="4"/>
  <c r="I39" i="4" s="1"/>
  <c r="I41" i="4" s="1"/>
  <c r="I43" i="4" s="1"/>
  <c r="G6" i="4"/>
  <c r="E6" i="4"/>
  <c r="C6" i="4"/>
  <c r="J5" i="4"/>
  <c r="I5" i="4"/>
  <c r="H5" i="4"/>
  <c r="G5" i="4"/>
  <c r="F5" i="4"/>
  <c r="E5" i="4"/>
  <c r="AP4" i="4"/>
  <c r="AQ4" i="4" s="1"/>
  <c r="AQ6" i="4" s="1"/>
  <c r="AQ8" i="4" s="1"/>
  <c r="AQ10" i="4" s="1"/>
  <c r="AQ12" i="4" s="1"/>
  <c r="AQ14" i="4" s="1"/>
  <c r="AQ16" i="4" s="1"/>
  <c r="AQ18" i="4" s="1"/>
  <c r="AQ20" i="4" s="1"/>
  <c r="AQ22" i="4" s="1"/>
  <c r="AQ24" i="4" s="1"/>
  <c r="AQ26" i="4" s="1"/>
  <c r="AI3" i="4"/>
  <c r="AQ2" i="4"/>
  <c r="H60" i="3"/>
  <c r="W58" i="3"/>
  <c r="J58" i="3"/>
  <c r="W57" i="3"/>
  <c r="J57" i="3"/>
  <c r="W56" i="3"/>
  <c r="J56" i="3"/>
  <c r="W55" i="3"/>
  <c r="J55" i="3"/>
  <c r="W54" i="3"/>
  <c r="J54" i="3"/>
  <c r="W53" i="3"/>
  <c r="J53" i="3"/>
  <c r="J60" i="3" s="1"/>
  <c r="J64" i="3" s="1"/>
  <c r="H43" i="3"/>
  <c r="J43" i="3" s="1"/>
  <c r="L43" i="3" s="1"/>
  <c r="N43" i="3" s="1"/>
  <c r="P43" i="3" s="1"/>
  <c r="R43" i="3" s="1"/>
  <c r="T43" i="3" s="1"/>
  <c r="V43" i="3" s="1"/>
  <c r="X43" i="3" s="1"/>
  <c r="Z43" i="3" s="1"/>
  <c r="Z42" i="3"/>
  <c r="X42" i="3"/>
  <c r="V42" i="3"/>
  <c r="N42" i="3"/>
  <c r="H42" i="3"/>
  <c r="D42" i="3"/>
  <c r="D43" i="3" s="1"/>
  <c r="F43" i="3" s="1"/>
  <c r="AA40" i="3"/>
  <c r="Z40" i="3"/>
  <c r="Y40" i="3"/>
  <c r="W40" i="3"/>
  <c r="U40" i="3"/>
  <c r="S40" i="3"/>
  <c r="Q40" i="3"/>
  <c r="O40" i="3"/>
  <c r="M40" i="3"/>
  <c r="K40" i="3"/>
  <c r="I40" i="3"/>
  <c r="G40" i="3"/>
  <c r="E40" i="3"/>
  <c r="O39" i="3"/>
  <c r="O41" i="3" s="1"/>
  <c r="O43" i="3" s="1"/>
  <c r="AC34" i="3"/>
  <c r="AD34" i="3" s="1"/>
  <c r="AB33" i="3"/>
  <c r="AA33" i="3"/>
  <c r="Y33" i="3"/>
  <c r="W33" i="3"/>
  <c r="U33" i="3"/>
  <c r="S33" i="3"/>
  <c r="Q33" i="3"/>
  <c r="O33" i="3"/>
  <c r="M33" i="3"/>
  <c r="K33" i="3"/>
  <c r="I33" i="3"/>
  <c r="G33" i="3"/>
  <c r="AC33" i="3" s="1"/>
  <c r="E33" i="3"/>
  <c r="C33" i="3"/>
  <c r="H32" i="3"/>
  <c r="G32" i="3"/>
  <c r="F32" i="3"/>
  <c r="E32" i="3"/>
  <c r="AC30" i="3"/>
  <c r="AD30" i="3" s="1"/>
  <c r="AB29" i="3"/>
  <c r="AA29" i="3"/>
  <c r="Y29" i="3"/>
  <c r="W29" i="3"/>
  <c r="W39" i="3" s="1"/>
  <c r="W41" i="3" s="1"/>
  <c r="W43" i="3" s="1"/>
  <c r="U29" i="3"/>
  <c r="S29" i="3"/>
  <c r="Q29" i="3"/>
  <c r="O29" i="3"/>
  <c r="M29" i="3"/>
  <c r="K29" i="3"/>
  <c r="I29" i="3"/>
  <c r="G29" i="3"/>
  <c r="E29" i="3"/>
  <c r="C29" i="3"/>
  <c r="I28" i="3"/>
  <c r="F28" i="3"/>
  <c r="H28" i="3" s="1"/>
  <c r="J28" i="3" s="1"/>
  <c r="E28" i="3"/>
  <c r="AD27" i="3"/>
  <c r="AC27" i="3"/>
  <c r="AB26" i="3"/>
  <c r="AA26" i="3"/>
  <c r="Y26" i="3"/>
  <c r="W26" i="3"/>
  <c r="U26" i="3"/>
  <c r="S26" i="3"/>
  <c r="Q26" i="3"/>
  <c r="O26" i="3"/>
  <c r="M26" i="3"/>
  <c r="K26" i="3"/>
  <c r="I26" i="3"/>
  <c r="G26" i="3"/>
  <c r="E26" i="3"/>
  <c r="C26" i="3"/>
  <c r="F25" i="3"/>
  <c r="E25" i="3"/>
  <c r="AD23" i="3"/>
  <c r="AC23" i="3"/>
  <c r="AB22" i="3"/>
  <c r="AA22" i="3"/>
  <c r="Y22" i="3"/>
  <c r="W22" i="3"/>
  <c r="U22" i="3"/>
  <c r="S22" i="3"/>
  <c r="Q22" i="3"/>
  <c r="O22" i="3"/>
  <c r="M22" i="3"/>
  <c r="K22" i="3"/>
  <c r="I22" i="3"/>
  <c r="G22" i="3"/>
  <c r="E22" i="3"/>
  <c r="C22" i="3"/>
  <c r="G21" i="3"/>
  <c r="F21" i="3"/>
  <c r="H21" i="3" s="1"/>
  <c r="I21" i="3" s="1"/>
  <c r="E21" i="3"/>
  <c r="AC20" i="3"/>
  <c r="AB19" i="3"/>
  <c r="AA19" i="3"/>
  <c r="Y19" i="3"/>
  <c r="W19" i="3"/>
  <c r="S19" i="3"/>
  <c r="Q19" i="3"/>
  <c r="O19" i="3"/>
  <c r="M19" i="3"/>
  <c r="K19" i="3"/>
  <c r="I19" i="3"/>
  <c r="G19" i="3"/>
  <c r="E19" i="3"/>
  <c r="AC19" i="3" s="1"/>
  <c r="C19" i="3"/>
  <c r="G18" i="3"/>
  <c r="F18" i="3"/>
  <c r="H18" i="3" s="1"/>
  <c r="E18" i="3"/>
  <c r="AD17" i="3"/>
  <c r="AC17" i="3"/>
  <c r="AB16" i="3"/>
  <c r="AA16" i="3"/>
  <c r="Y16" i="3"/>
  <c r="W16" i="3"/>
  <c r="U16" i="3"/>
  <c r="S16" i="3"/>
  <c r="Q16" i="3"/>
  <c r="O16" i="3"/>
  <c r="M16" i="3"/>
  <c r="K16" i="3"/>
  <c r="I16" i="3"/>
  <c r="G16" i="3"/>
  <c r="AC16" i="3" s="1"/>
  <c r="E16" i="3"/>
  <c r="C16" i="3"/>
  <c r="D15" i="3"/>
  <c r="AD13" i="3"/>
  <c r="AC13" i="3"/>
  <c r="AB12" i="3"/>
  <c r="AA12" i="3"/>
  <c r="Y12" i="3"/>
  <c r="W12" i="3"/>
  <c r="U12" i="3"/>
  <c r="S12" i="3"/>
  <c r="Q12" i="3"/>
  <c r="O12" i="3"/>
  <c r="M12" i="3"/>
  <c r="K12" i="3"/>
  <c r="I12" i="3"/>
  <c r="G12" i="3"/>
  <c r="E12" i="3"/>
  <c r="C12" i="3"/>
  <c r="F11" i="3"/>
  <c r="E11" i="3"/>
  <c r="D11" i="3"/>
  <c r="AD10" i="3"/>
  <c r="AC10" i="3"/>
  <c r="AB9" i="3"/>
  <c r="AA9" i="3"/>
  <c r="Y9" i="3"/>
  <c r="W9" i="3"/>
  <c r="U9" i="3"/>
  <c r="S9" i="3"/>
  <c r="Q9" i="3"/>
  <c r="O9" i="3"/>
  <c r="M9" i="3"/>
  <c r="K9" i="3"/>
  <c r="I9" i="3"/>
  <c r="G9" i="3"/>
  <c r="G39" i="3" s="1"/>
  <c r="G41" i="3" s="1"/>
  <c r="G43" i="3" s="1"/>
  <c r="E9" i="3"/>
  <c r="C9" i="3"/>
  <c r="D8" i="3"/>
  <c r="AC7" i="3"/>
  <c r="AD7" i="3" s="1"/>
  <c r="AB6" i="3"/>
  <c r="AA6" i="3"/>
  <c r="Y6" i="3"/>
  <c r="W6" i="3"/>
  <c r="U6" i="3"/>
  <c r="S6" i="3"/>
  <c r="Q6" i="3"/>
  <c r="O6" i="3"/>
  <c r="M6" i="3"/>
  <c r="K6" i="3"/>
  <c r="K39" i="3" s="1"/>
  <c r="K41" i="3" s="1"/>
  <c r="K43" i="3" s="1"/>
  <c r="I6" i="3"/>
  <c r="I39" i="3" s="1"/>
  <c r="I41" i="3" s="1"/>
  <c r="I43" i="3" s="1"/>
  <c r="G6" i="3"/>
  <c r="E6" i="3"/>
  <c r="C6" i="3"/>
  <c r="F5" i="3"/>
  <c r="D5" i="3"/>
  <c r="E5" i="3" s="1"/>
  <c r="M48" i="2"/>
  <c r="P48" i="2" s="1"/>
  <c r="P44" i="2"/>
  <c r="M44" i="2" s="1"/>
  <c r="P43" i="2"/>
  <c r="M43" i="2"/>
  <c r="E40" i="2"/>
  <c r="M37" i="2"/>
  <c r="AA36" i="2"/>
  <c r="U36" i="2"/>
  <c r="O36" i="2"/>
  <c r="K36" i="2"/>
  <c r="I36" i="2"/>
  <c r="G36" i="2"/>
  <c r="E36" i="2"/>
  <c r="AC35" i="2"/>
  <c r="AA34" i="2"/>
  <c r="Y34" i="2"/>
  <c r="W34" i="2"/>
  <c r="U34" i="2"/>
  <c r="S34" i="2"/>
  <c r="O34" i="2"/>
  <c r="O37" i="2" s="1"/>
  <c r="Q37" i="2" s="1"/>
  <c r="S37" i="2" s="1"/>
  <c r="U37" i="2" s="1"/>
  <c r="W37" i="2" s="1"/>
  <c r="Y37" i="2" s="1"/>
  <c r="AA37" i="2" s="1"/>
  <c r="K34" i="2"/>
  <c r="T33" i="2"/>
  <c r="R33" i="2"/>
  <c r="P33" i="2"/>
  <c r="N33" i="2"/>
  <c r="G34" i="2" s="1"/>
  <c r="G37" i="2" s="1"/>
  <c r="L33" i="2"/>
  <c r="H33" i="2"/>
  <c r="F33" i="2"/>
  <c r="D28" i="2"/>
  <c r="E27" i="2"/>
  <c r="D25" i="2"/>
  <c r="G24" i="2"/>
  <c r="F24" i="2"/>
  <c r="E24" i="2"/>
  <c r="D23" i="2"/>
  <c r="I22" i="2"/>
  <c r="H22" i="2"/>
  <c r="G22" i="2"/>
  <c r="F22" i="2"/>
  <c r="D20" i="2"/>
  <c r="J19" i="2"/>
  <c r="I19" i="2"/>
  <c r="K19" i="2" s="1"/>
  <c r="G19" i="2"/>
  <c r="H19" i="2" s="1"/>
  <c r="F19" i="2"/>
  <c r="Q18" i="2"/>
  <c r="D18" i="2"/>
  <c r="H17" i="2"/>
  <c r="G17" i="2"/>
  <c r="I17" i="2" s="1"/>
  <c r="J17" i="2" s="1"/>
  <c r="F17" i="2"/>
  <c r="Q16" i="2"/>
  <c r="I16" i="2"/>
  <c r="D16" i="2"/>
  <c r="G15" i="2"/>
  <c r="H15" i="2" s="1"/>
  <c r="F15" i="2"/>
  <c r="E15" i="2"/>
  <c r="D13" i="2"/>
  <c r="E12" i="2"/>
  <c r="Q11" i="2"/>
  <c r="I11" i="2"/>
  <c r="D11" i="2"/>
  <c r="E10" i="2"/>
  <c r="Q9" i="2"/>
  <c r="I9" i="2"/>
  <c r="D9" i="2"/>
  <c r="E8" i="2"/>
  <c r="F8" i="2" s="1"/>
  <c r="G19" i="7" l="1"/>
  <c r="I18" i="7"/>
  <c r="H19" i="7"/>
  <c r="G25" i="7"/>
  <c r="G28" i="7"/>
  <c r="H5" i="3"/>
  <c r="G5" i="3"/>
  <c r="F8" i="3"/>
  <c r="E8" i="3"/>
  <c r="I9" i="5"/>
  <c r="J9" i="5"/>
  <c r="K22" i="2"/>
  <c r="J22" i="2"/>
  <c r="M39" i="3"/>
  <c r="M41" i="3" s="1"/>
  <c r="M43" i="3" s="1"/>
  <c r="AC26" i="3"/>
  <c r="K17" i="2"/>
  <c r="M19" i="2"/>
  <c r="L19" i="2"/>
  <c r="J21" i="3"/>
  <c r="W39" i="4"/>
  <c r="W41" i="4" s="1"/>
  <c r="W43" i="4" s="1"/>
  <c r="Q19" i="5"/>
  <c r="O19" i="5"/>
  <c r="M19" i="5"/>
  <c r="K19" i="5"/>
  <c r="G19" i="5"/>
  <c r="E19" i="5"/>
  <c r="AA19" i="5"/>
  <c r="W19" i="5"/>
  <c r="S19" i="5"/>
  <c r="U19" i="5"/>
  <c r="I19" i="5"/>
  <c r="O105" i="5"/>
  <c r="Q105" i="5" s="1"/>
  <c r="O101" i="5"/>
  <c r="Q101" i="5" s="1"/>
  <c r="O104" i="5"/>
  <c r="Q104" i="5" s="1"/>
  <c r="O100" i="5"/>
  <c r="Q100" i="5" s="1"/>
  <c r="O99" i="5"/>
  <c r="Q99" i="5" s="1"/>
  <c r="O102" i="5"/>
  <c r="Q102" i="5" s="1"/>
  <c r="O98" i="5"/>
  <c r="Q98" i="5" s="1"/>
  <c r="H25" i="3"/>
  <c r="G25" i="3"/>
  <c r="AC29" i="3"/>
  <c r="AD7" i="4"/>
  <c r="AN7" i="4" s="1"/>
  <c r="K28" i="4"/>
  <c r="L28" i="4"/>
  <c r="S39" i="3"/>
  <c r="S41" i="3" s="1"/>
  <c r="S43" i="3" s="1"/>
  <c r="AC12" i="3"/>
  <c r="Q39" i="3"/>
  <c r="Q41" i="3" s="1"/>
  <c r="Q43" i="3" s="1"/>
  <c r="O23" i="6"/>
  <c r="K23" i="6"/>
  <c r="G23" i="6"/>
  <c r="E23" i="6"/>
  <c r="AA23" i="6"/>
  <c r="Y23" i="6"/>
  <c r="W23" i="6"/>
  <c r="S23" i="6"/>
  <c r="Q23" i="6"/>
  <c r="U23" i="6"/>
  <c r="M23" i="6"/>
  <c r="G8" i="2"/>
  <c r="U39" i="3"/>
  <c r="U41" i="3" s="1"/>
  <c r="U43" i="3" s="1"/>
  <c r="L28" i="3"/>
  <c r="K28" i="3"/>
  <c r="J26" i="6"/>
  <c r="I26" i="6"/>
  <c r="G27" i="2"/>
  <c r="F27" i="2"/>
  <c r="Y39" i="3"/>
  <c r="Y41" i="3" s="1"/>
  <c r="Y43" i="3" s="1"/>
  <c r="F15" i="3"/>
  <c r="E15" i="3"/>
  <c r="J21" i="4"/>
  <c r="I21" i="4"/>
  <c r="AL33" i="4"/>
  <c r="AC33" i="4"/>
  <c r="G10" i="2"/>
  <c r="F10" i="2"/>
  <c r="H11" i="3"/>
  <c r="G11" i="3"/>
  <c r="G12" i="2"/>
  <c r="F12" i="2"/>
  <c r="C35" i="3"/>
  <c r="AA39" i="3"/>
  <c r="AA41" i="3" s="1"/>
  <c r="AA43" i="3" s="1"/>
  <c r="AC9" i="4"/>
  <c r="AM9" i="4" s="1"/>
  <c r="AO9" i="4" s="1"/>
  <c r="AQ9" i="4" s="1"/>
  <c r="AC6" i="3"/>
  <c r="AD20" i="3"/>
  <c r="J32" i="3"/>
  <c r="I32" i="3"/>
  <c r="Y19" i="5"/>
  <c r="AC22" i="3"/>
  <c r="E39" i="3"/>
  <c r="E41" i="3" s="1"/>
  <c r="Q32" i="5"/>
  <c r="O32" i="5"/>
  <c r="M32" i="5"/>
  <c r="K32" i="5"/>
  <c r="G32" i="5"/>
  <c r="E32" i="5"/>
  <c r="AA32" i="5"/>
  <c r="W32" i="5"/>
  <c r="S32" i="5"/>
  <c r="U32" i="5"/>
  <c r="I32" i="5"/>
  <c r="I23" i="6"/>
  <c r="I48" i="6" s="1"/>
  <c r="I50" i="6" s="1"/>
  <c r="I52" i="6" s="1"/>
  <c r="I15" i="2"/>
  <c r="I24" i="2"/>
  <c r="H24" i="2"/>
  <c r="AC9" i="3"/>
  <c r="J18" i="3"/>
  <c r="I18" i="3"/>
  <c r="W60" i="3"/>
  <c r="W64" i="3" s="1"/>
  <c r="I15" i="4"/>
  <c r="J15" i="4"/>
  <c r="E6" i="5"/>
  <c r="AA6" i="5"/>
  <c r="AA48" i="5" s="1"/>
  <c r="AA50" i="5" s="1"/>
  <c r="AA52" i="5" s="1"/>
  <c r="Y6" i="5"/>
  <c r="W6" i="5"/>
  <c r="S6" i="5"/>
  <c r="Q6" i="5"/>
  <c r="O6" i="5"/>
  <c r="K6" i="5"/>
  <c r="G6" i="5"/>
  <c r="U6" i="5"/>
  <c r="M6" i="5"/>
  <c r="I6" i="5"/>
  <c r="H31" i="5"/>
  <c r="G31" i="5"/>
  <c r="J40" i="5"/>
  <c r="S39" i="4"/>
  <c r="S41" i="4" s="1"/>
  <c r="S43" i="4" s="1"/>
  <c r="L11" i="4"/>
  <c r="K11" i="4"/>
  <c r="L22" i="5"/>
  <c r="K22" i="5"/>
  <c r="W87" i="5"/>
  <c r="G28" i="3"/>
  <c r="J8" i="4"/>
  <c r="AC19" i="4"/>
  <c r="AM19" i="4" s="1"/>
  <c r="AO19" i="4" s="1"/>
  <c r="AQ19" i="4" s="1"/>
  <c r="K13" i="5"/>
  <c r="L13" i="5"/>
  <c r="AD15" i="5"/>
  <c r="H9" i="6"/>
  <c r="G9" i="6"/>
  <c r="AN19" i="4"/>
  <c r="C40" i="4"/>
  <c r="G48" i="6"/>
  <c r="G50" i="6" s="1"/>
  <c r="G52" i="6" s="1"/>
  <c r="C35" i="4"/>
  <c r="AH31" i="4"/>
  <c r="AL31" i="4" s="1"/>
  <c r="V43" i="4"/>
  <c r="X43" i="4" s="1"/>
  <c r="Z43" i="4" s="1"/>
  <c r="Z74" i="4"/>
  <c r="H18" i="5"/>
  <c r="G18" i="5"/>
  <c r="AC6" i="4"/>
  <c r="J18" i="4"/>
  <c r="I18" i="4"/>
  <c r="P132" i="5"/>
  <c r="G39" i="4"/>
  <c r="G41" i="4" s="1"/>
  <c r="G43" i="4" s="1"/>
  <c r="AC22" i="4"/>
  <c r="Y75" i="4"/>
  <c r="Y76" i="4" s="1"/>
  <c r="I26" i="5"/>
  <c r="J26" i="5"/>
  <c r="P78" i="5"/>
  <c r="P85" i="5" s="1"/>
  <c r="O78" i="5"/>
  <c r="O85" i="5" s="1"/>
  <c r="O87" i="5" s="1"/>
  <c r="L5" i="4"/>
  <c r="K5" i="4"/>
  <c r="AC12" i="4"/>
  <c r="G5" i="5"/>
  <c r="H5" i="5"/>
  <c r="M39" i="4"/>
  <c r="M41" i="4" s="1"/>
  <c r="M43" i="4" s="1"/>
  <c r="M14" i="5"/>
  <c r="K14" i="5"/>
  <c r="I14" i="5"/>
  <c r="G14" i="5"/>
  <c r="AC14" i="5" s="1"/>
  <c r="AA14" i="5"/>
  <c r="Y14" i="5"/>
  <c r="W14" i="5"/>
  <c r="S14" i="5"/>
  <c r="O14" i="5"/>
  <c r="Q14" i="5"/>
  <c r="J5" i="6"/>
  <c r="H25" i="4"/>
  <c r="H32" i="4"/>
  <c r="K10" i="5"/>
  <c r="AA23" i="5"/>
  <c r="K27" i="5"/>
  <c r="F35" i="5"/>
  <c r="AA36" i="5"/>
  <c r="E41" i="5"/>
  <c r="J35" i="6"/>
  <c r="I35" i="6"/>
  <c r="W87" i="6"/>
  <c r="W86" i="6"/>
  <c r="N106" i="6"/>
  <c r="M85" i="6"/>
  <c r="P78" i="6"/>
  <c r="O78" i="6"/>
  <c r="O85" i="6" s="1"/>
  <c r="O87" i="6" s="1"/>
  <c r="H12" i="7"/>
  <c r="I11" i="7"/>
  <c r="E39" i="4"/>
  <c r="S10" i="5"/>
  <c r="K23" i="5"/>
  <c r="S27" i="5"/>
  <c r="K36" i="5"/>
  <c r="AC36" i="5" s="1"/>
  <c r="M41" i="5"/>
  <c r="M6" i="6"/>
  <c r="M48" i="6" s="1"/>
  <c r="M50" i="6" s="1"/>
  <c r="M52" i="6" s="1"/>
  <c r="Q10" i="6"/>
  <c r="E14" i="6"/>
  <c r="AC14" i="6" s="1"/>
  <c r="Y14" i="6"/>
  <c r="S14" i="6"/>
  <c r="S48" i="6" s="1"/>
  <c r="S50" i="6" s="1"/>
  <c r="S52" i="6" s="1"/>
  <c r="Q14" i="6"/>
  <c r="M14" i="6"/>
  <c r="G14" i="6"/>
  <c r="H31" i="6"/>
  <c r="AD17" i="4"/>
  <c r="AN17" i="4" s="1"/>
  <c r="U10" i="5"/>
  <c r="M23" i="5"/>
  <c r="U27" i="5"/>
  <c r="M36" i="5"/>
  <c r="O41" i="5"/>
  <c r="AC155" i="6"/>
  <c r="AC154" i="6"/>
  <c r="AC153" i="6"/>
  <c r="H28" i="7"/>
  <c r="I27" i="7"/>
  <c r="W10" i="5"/>
  <c r="O23" i="5"/>
  <c r="W27" i="5"/>
  <c r="O36" i="5"/>
  <c r="Q41" i="5"/>
  <c r="Q6" i="6"/>
  <c r="Q48" i="6" s="1"/>
  <c r="Q50" i="6" s="1"/>
  <c r="Q52" i="6" s="1"/>
  <c r="U10" i="6"/>
  <c r="G13" i="6"/>
  <c r="H13" i="6"/>
  <c r="N22" i="6"/>
  <c r="M22" i="6"/>
  <c r="L40" i="6"/>
  <c r="K40" i="6"/>
  <c r="N93" i="6"/>
  <c r="S36" i="5"/>
  <c r="U41" i="5"/>
  <c r="U6" i="6"/>
  <c r="U48" i="6" s="1"/>
  <c r="U50" i="6" s="1"/>
  <c r="U52" i="6" s="1"/>
  <c r="E9" i="6"/>
  <c r="Y10" i="6"/>
  <c r="I14" i="6"/>
  <c r="X85" i="6"/>
  <c r="W102" i="6"/>
  <c r="W104" i="6" s="1"/>
  <c r="G15" i="4"/>
  <c r="I28" i="4"/>
  <c r="E5" i="5"/>
  <c r="G9" i="5"/>
  <c r="E10" i="5"/>
  <c r="I13" i="5"/>
  <c r="U23" i="5"/>
  <c r="G26" i="5"/>
  <c r="E27" i="5"/>
  <c r="U36" i="5"/>
  <c r="W41" i="5"/>
  <c r="W6" i="6"/>
  <c r="K22" i="6"/>
  <c r="X102" i="6"/>
  <c r="G10" i="5"/>
  <c r="W23" i="5"/>
  <c r="AC23" i="5" s="1"/>
  <c r="G27" i="5"/>
  <c r="W36" i="5"/>
  <c r="E40" i="5"/>
  <c r="Y41" i="5"/>
  <c r="Y6" i="6"/>
  <c r="E10" i="6"/>
  <c r="O14" i="6"/>
  <c r="O48" i="6" s="1"/>
  <c r="O50" i="6" s="1"/>
  <c r="O52" i="6" s="1"/>
  <c r="H18" i="6"/>
  <c r="P85" i="6"/>
  <c r="AC133" i="6"/>
  <c r="AD152" i="6"/>
  <c r="C44" i="6"/>
  <c r="U14" i="6"/>
  <c r="G15" i="7"/>
  <c r="H14" i="7"/>
  <c r="K19" i="6"/>
  <c r="K48" i="6" s="1"/>
  <c r="K50" i="6" s="1"/>
  <c r="K52" i="6" s="1"/>
  <c r="W36" i="6"/>
  <c r="O103" i="6"/>
  <c r="Q103" i="6" s="1"/>
  <c r="G12" i="7"/>
  <c r="I22" i="7"/>
  <c r="H30" i="7"/>
  <c r="Y36" i="6"/>
  <c r="AA41" i="6"/>
  <c r="AA48" i="6" s="1"/>
  <c r="AA50" i="6" s="1"/>
  <c r="AA52" i="6" s="1"/>
  <c r="Q19" i="6"/>
  <c r="S32" i="6"/>
  <c r="E36" i="6"/>
  <c r="S19" i="6"/>
  <c r="G36" i="6"/>
  <c r="U19" i="6"/>
  <c r="W32" i="6"/>
  <c r="AC32" i="6" s="1"/>
  <c r="I36" i="6"/>
  <c r="K41" i="6"/>
  <c r="AC41" i="6" s="1"/>
  <c r="W19" i="6"/>
  <c r="Y32" i="6"/>
  <c r="K36" i="6"/>
  <c r="O36" i="6"/>
  <c r="E19" i="6"/>
  <c r="Q36" i="6"/>
  <c r="S41" i="6"/>
  <c r="I19" i="7" l="1"/>
  <c r="J18" i="7"/>
  <c r="H27" i="2"/>
  <c r="I27" i="2"/>
  <c r="N28" i="4"/>
  <c r="M28" i="4"/>
  <c r="L9" i="5"/>
  <c r="K9" i="5"/>
  <c r="I10" i="2"/>
  <c r="H10" i="2"/>
  <c r="H31" i="7"/>
  <c r="I30" i="7"/>
  <c r="AC6" i="5"/>
  <c r="E48" i="5"/>
  <c r="I11" i="3"/>
  <c r="J11" i="3"/>
  <c r="I18" i="6"/>
  <c r="J18" i="6"/>
  <c r="J25" i="4"/>
  <c r="I25" i="4"/>
  <c r="U48" i="5"/>
  <c r="U50" i="5" s="1"/>
  <c r="U52" i="5" s="1"/>
  <c r="L26" i="6"/>
  <c r="K26" i="6"/>
  <c r="L21" i="3"/>
  <c r="K21" i="3"/>
  <c r="L5" i="6"/>
  <c r="K5" i="6"/>
  <c r="L26" i="5"/>
  <c r="K26" i="5"/>
  <c r="G48" i="5"/>
  <c r="G50" i="5" s="1"/>
  <c r="G52" i="5" s="1"/>
  <c r="W48" i="6"/>
  <c r="W50" i="6" s="1"/>
  <c r="W52" i="6" s="1"/>
  <c r="I28" i="7"/>
  <c r="J27" i="7"/>
  <c r="I31" i="6"/>
  <c r="J31" i="6"/>
  <c r="AC6" i="6"/>
  <c r="N22" i="5"/>
  <c r="M22" i="5"/>
  <c r="K48" i="5"/>
  <c r="K50" i="5" s="1"/>
  <c r="K52" i="5" s="1"/>
  <c r="G8" i="3"/>
  <c r="H8" i="3"/>
  <c r="AC137" i="6"/>
  <c r="AC41" i="3"/>
  <c r="E43" i="3"/>
  <c r="AC43" i="3" s="1"/>
  <c r="Y48" i="6"/>
  <c r="Y50" i="6" s="1"/>
  <c r="Y52" i="6" s="1"/>
  <c r="L35" i="6"/>
  <c r="K35" i="6"/>
  <c r="O48" i="5"/>
  <c r="O50" i="5" s="1"/>
  <c r="O52" i="5" s="1"/>
  <c r="L18" i="3"/>
  <c r="K18" i="3"/>
  <c r="AC32" i="5"/>
  <c r="L21" i="4"/>
  <c r="K21" i="4"/>
  <c r="N28" i="3"/>
  <c r="M28" i="3"/>
  <c r="AC23" i="6"/>
  <c r="O19" i="2"/>
  <c r="N19" i="2"/>
  <c r="I25" i="7"/>
  <c r="J22" i="7"/>
  <c r="L15" i="4"/>
  <c r="K15" i="4"/>
  <c r="I14" i="7"/>
  <c r="H15" i="7"/>
  <c r="AC10" i="6"/>
  <c r="AC36" i="6"/>
  <c r="AC157" i="6"/>
  <c r="E41" i="4"/>
  <c r="C39" i="4"/>
  <c r="E48" i="6"/>
  <c r="J5" i="5"/>
  <c r="I5" i="5"/>
  <c r="I9" i="6"/>
  <c r="J9" i="6"/>
  <c r="N11" i="4"/>
  <c r="M11" i="4"/>
  <c r="Q48" i="5"/>
  <c r="Q50" i="5" s="1"/>
  <c r="Q52" i="5" s="1"/>
  <c r="M17" i="2"/>
  <c r="L17" i="2"/>
  <c r="J5" i="3"/>
  <c r="I5" i="3"/>
  <c r="AC134" i="6"/>
  <c r="AC10" i="5"/>
  <c r="L8" i="4"/>
  <c r="K8" i="4"/>
  <c r="L22" i="2"/>
  <c r="M22" i="2"/>
  <c r="I48" i="5"/>
  <c r="I50" i="5" s="1"/>
  <c r="I52" i="5" s="1"/>
  <c r="N40" i="6"/>
  <c r="M40" i="6"/>
  <c r="AC19" i="6"/>
  <c r="P22" i="6"/>
  <c r="O22" i="6"/>
  <c r="AC27" i="5"/>
  <c r="J13" i="6"/>
  <c r="I13" i="6"/>
  <c r="J11" i="7"/>
  <c r="I12" i="7"/>
  <c r="AC41" i="5"/>
  <c r="J18" i="5"/>
  <c r="I18" i="5"/>
  <c r="S48" i="5"/>
  <c r="S50" i="5" s="1"/>
  <c r="S52" i="5" s="1"/>
  <c r="G15" i="3"/>
  <c r="H15" i="3"/>
  <c r="H8" i="2"/>
  <c r="I8" i="2"/>
  <c r="I25" i="3"/>
  <c r="J25" i="3"/>
  <c r="J31" i="5"/>
  <c r="I31" i="5"/>
  <c r="L18" i="4"/>
  <c r="K18" i="4"/>
  <c r="J32" i="4"/>
  <c r="I32" i="4"/>
  <c r="L40" i="5"/>
  <c r="K40" i="5"/>
  <c r="J24" i="2"/>
  <c r="K24" i="2"/>
  <c r="K32" i="3"/>
  <c r="L32" i="3"/>
  <c r="AC19" i="5"/>
  <c r="M5" i="4"/>
  <c r="N5" i="4"/>
  <c r="O98" i="6"/>
  <c r="Q98" i="6" s="1"/>
  <c r="O105" i="6"/>
  <c r="Q105" i="6" s="1"/>
  <c r="O101" i="6"/>
  <c r="Q101" i="6" s="1"/>
  <c r="O99" i="6"/>
  <c r="Q99" i="6" s="1"/>
  <c r="O104" i="6"/>
  <c r="Q104" i="6" s="1"/>
  <c r="O102" i="6"/>
  <c r="Q102" i="6" s="1"/>
  <c r="O100" i="6"/>
  <c r="Q100" i="6" s="1"/>
  <c r="M48" i="5"/>
  <c r="M50" i="5" s="1"/>
  <c r="M52" i="5" s="1"/>
  <c r="N13" i="5"/>
  <c r="M13" i="5"/>
  <c r="W48" i="5"/>
  <c r="W50" i="5" s="1"/>
  <c r="W52" i="5" s="1"/>
  <c r="H35" i="5"/>
  <c r="G35" i="5"/>
  <c r="Y48" i="5"/>
  <c r="Y50" i="5" s="1"/>
  <c r="Y52" i="5" s="1"/>
  <c r="J15" i="2"/>
  <c r="K15" i="2"/>
  <c r="H12" i="2"/>
  <c r="I12" i="2"/>
  <c r="J19" i="7" l="1"/>
  <c r="K18" i="7"/>
  <c r="P40" i="6"/>
  <c r="O40" i="6"/>
  <c r="O5" i="4"/>
  <c r="P5" i="4"/>
  <c r="M40" i="5"/>
  <c r="N40" i="5"/>
  <c r="L5" i="3"/>
  <c r="K5" i="3"/>
  <c r="AC41" i="4"/>
  <c r="E43" i="4"/>
  <c r="L25" i="4"/>
  <c r="K25" i="4"/>
  <c r="K10" i="2"/>
  <c r="J10" i="2"/>
  <c r="P13" i="5"/>
  <c r="O13" i="5"/>
  <c r="Q19" i="2"/>
  <c r="P19" i="2"/>
  <c r="K18" i="6"/>
  <c r="L18" i="6"/>
  <c r="N9" i="5"/>
  <c r="M9" i="5"/>
  <c r="O22" i="2"/>
  <c r="N22" i="2"/>
  <c r="P11" i="4"/>
  <c r="O11" i="4"/>
  <c r="J14" i="7"/>
  <c r="I15" i="7"/>
  <c r="N5" i="6"/>
  <c r="M5" i="6"/>
  <c r="E50" i="5"/>
  <c r="C48" i="5"/>
  <c r="N35" i="6"/>
  <c r="M35" i="6"/>
  <c r="L18" i="5"/>
  <c r="K18" i="5"/>
  <c r="N21" i="3"/>
  <c r="M21" i="3"/>
  <c r="L32" i="4"/>
  <c r="K32" i="4"/>
  <c r="O17" i="2"/>
  <c r="N17" i="2"/>
  <c r="N26" i="5"/>
  <c r="M26" i="5"/>
  <c r="J12" i="2"/>
  <c r="K12" i="2"/>
  <c r="J12" i="7"/>
  <c r="K11" i="7"/>
  <c r="K9" i="6"/>
  <c r="L9" i="6"/>
  <c r="M21" i="4"/>
  <c r="N21" i="4"/>
  <c r="K31" i="6"/>
  <c r="L31" i="6"/>
  <c r="L25" i="3"/>
  <c r="K25" i="3"/>
  <c r="K13" i="6"/>
  <c r="L13" i="6"/>
  <c r="M8" i="4"/>
  <c r="N8" i="4"/>
  <c r="J28" i="7"/>
  <c r="K27" i="7"/>
  <c r="N18" i="4"/>
  <c r="M18" i="4"/>
  <c r="P22" i="5"/>
  <c r="O22" i="5"/>
  <c r="P28" i="4"/>
  <c r="O28" i="4"/>
  <c r="K8" i="2"/>
  <c r="J8" i="2"/>
  <c r="L5" i="5"/>
  <c r="K5" i="5"/>
  <c r="M26" i="6"/>
  <c r="N26" i="6"/>
  <c r="I31" i="7"/>
  <c r="J30" i="7"/>
  <c r="K27" i="2"/>
  <c r="J27" i="2"/>
  <c r="L11" i="3"/>
  <c r="K11" i="3"/>
  <c r="O28" i="3"/>
  <c r="P28" i="3"/>
  <c r="M15" i="2"/>
  <c r="L15" i="2"/>
  <c r="L31" i="5"/>
  <c r="K31" i="5"/>
  <c r="N32" i="3"/>
  <c r="M32" i="3"/>
  <c r="M24" i="2"/>
  <c r="L24" i="2"/>
  <c r="J35" i="5"/>
  <c r="I35" i="5"/>
  <c r="E50" i="6"/>
  <c r="C48" i="6"/>
  <c r="J25" i="7"/>
  <c r="K22" i="7"/>
  <c r="J8" i="3"/>
  <c r="I8" i="3"/>
  <c r="N15" i="4"/>
  <c r="M15" i="4"/>
  <c r="J15" i="3"/>
  <c r="I15" i="3"/>
  <c r="R22" i="6"/>
  <c r="Q22" i="6"/>
  <c r="N18" i="3"/>
  <c r="M18" i="3"/>
  <c r="L18" i="7" l="1"/>
  <c r="K19" i="7"/>
  <c r="K25" i="7"/>
  <c r="L22" i="7"/>
  <c r="L27" i="2"/>
  <c r="M27" i="2"/>
  <c r="N9" i="6"/>
  <c r="M9" i="6"/>
  <c r="L35" i="5"/>
  <c r="K35" i="5"/>
  <c r="M18" i="5"/>
  <c r="N18" i="5"/>
  <c r="R28" i="4"/>
  <c r="Q28" i="4"/>
  <c r="Q22" i="5"/>
  <c r="R22" i="5"/>
  <c r="P18" i="3"/>
  <c r="O18" i="3"/>
  <c r="M31" i="5"/>
  <c r="N31" i="5"/>
  <c r="J31" i="7"/>
  <c r="K30" i="7"/>
  <c r="P8" i="4"/>
  <c r="O8" i="4"/>
  <c r="P21" i="3"/>
  <c r="O21" i="3"/>
  <c r="P5" i="6"/>
  <c r="O5" i="6"/>
  <c r="N15" i="2"/>
  <c r="O15" i="2"/>
  <c r="M5" i="3"/>
  <c r="N5" i="3"/>
  <c r="N11" i="3"/>
  <c r="M11" i="3"/>
  <c r="O18" i="4"/>
  <c r="P18" i="4"/>
  <c r="K12" i="7"/>
  <c r="L11" i="7"/>
  <c r="S19" i="2"/>
  <c r="R19" i="2"/>
  <c r="A45" i="4"/>
  <c r="AC43" i="4"/>
  <c r="C42" i="4"/>
  <c r="L12" i="2"/>
  <c r="M12" i="2"/>
  <c r="N5" i="5"/>
  <c r="M5" i="5"/>
  <c r="N25" i="3"/>
  <c r="M25" i="3"/>
  <c r="R13" i="5"/>
  <c r="Q13" i="5"/>
  <c r="P40" i="5"/>
  <c r="O40" i="5"/>
  <c r="N31" i="6"/>
  <c r="M31" i="6"/>
  <c r="P26" i="5"/>
  <c r="O26" i="5"/>
  <c r="P22" i="2"/>
  <c r="Q22" i="2"/>
  <c r="O26" i="6"/>
  <c r="P26" i="6"/>
  <c r="K15" i="3"/>
  <c r="L15" i="3"/>
  <c r="L10" i="2"/>
  <c r="M10" i="2"/>
  <c r="R5" i="4"/>
  <c r="Q5" i="4"/>
  <c r="K14" i="7"/>
  <c r="J15" i="7"/>
  <c r="Q11" i="4"/>
  <c r="R11" i="4"/>
  <c r="R28" i="3"/>
  <c r="Q28" i="3"/>
  <c r="N24" i="2"/>
  <c r="O24" i="2"/>
  <c r="M8" i="2"/>
  <c r="L8" i="2"/>
  <c r="P15" i="4"/>
  <c r="O15" i="4"/>
  <c r="O32" i="3"/>
  <c r="P32" i="3"/>
  <c r="K28" i="7"/>
  <c r="L27" i="7"/>
  <c r="Q17" i="2"/>
  <c r="P17" i="2"/>
  <c r="P35" i="6"/>
  <c r="O35" i="6"/>
  <c r="P9" i="5"/>
  <c r="O9" i="5"/>
  <c r="T22" i="6"/>
  <c r="S22" i="6"/>
  <c r="AC50" i="6"/>
  <c r="E52" i="6"/>
  <c r="N13" i="6"/>
  <c r="M13" i="6"/>
  <c r="O21" i="4"/>
  <c r="P21" i="4"/>
  <c r="N18" i="6"/>
  <c r="M18" i="6"/>
  <c r="L8" i="3"/>
  <c r="K8" i="3"/>
  <c r="N32" i="4"/>
  <c r="M32" i="4"/>
  <c r="AC50" i="5"/>
  <c r="E52" i="5"/>
  <c r="N25" i="4"/>
  <c r="M25" i="4"/>
  <c r="R40" i="6"/>
  <c r="Q40" i="6"/>
  <c r="L19" i="7" l="1"/>
  <c r="M18" i="7"/>
  <c r="K31" i="7"/>
  <c r="L30" i="7"/>
  <c r="T40" i="6"/>
  <c r="S40" i="6"/>
  <c r="T11" i="4"/>
  <c r="S11" i="4"/>
  <c r="T13" i="5"/>
  <c r="S13" i="5"/>
  <c r="P15" i="2"/>
  <c r="Q15" i="2"/>
  <c r="P31" i="5"/>
  <c r="O31" i="5"/>
  <c r="P5" i="3"/>
  <c r="O5" i="3"/>
  <c r="R15" i="4"/>
  <c r="Q15" i="4"/>
  <c r="Q26" i="6"/>
  <c r="R26" i="6"/>
  <c r="P18" i="6"/>
  <c r="O18" i="6"/>
  <c r="N35" i="5"/>
  <c r="M35" i="5"/>
  <c r="R21" i="4"/>
  <c r="Q21" i="4"/>
  <c r="O8" i="2"/>
  <c r="N8" i="2"/>
  <c r="Q18" i="3"/>
  <c r="R18" i="3"/>
  <c r="P9" i="6"/>
  <c r="O9" i="6"/>
  <c r="R40" i="5"/>
  <c r="Q40" i="5"/>
  <c r="P5" i="5"/>
  <c r="O5" i="5"/>
  <c r="L12" i="7"/>
  <c r="M11" i="7"/>
  <c r="T22" i="5"/>
  <c r="S22" i="5"/>
  <c r="R35" i="6"/>
  <c r="Q35" i="6"/>
  <c r="L14" i="7"/>
  <c r="K15" i="7"/>
  <c r="S17" i="2"/>
  <c r="R17" i="2"/>
  <c r="Q24" i="2"/>
  <c r="P24" i="2"/>
  <c r="O12" i="2"/>
  <c r="N12" i="2"/>
  <c r="R5" i="6"/>
  <c r="Q5" i="6"/>
  <c r="C51" i="5"/>
  <c r="A54" i="5"/>
  <c r="AC52" i="5"/>
  <c r="P32" i="4"/>
  <c r="O32" i="4"/>
  <c r="L28" i="7"/>
  <c r="M27" i="7"/>
  <c r="R26" i="5"/>
  <c r="Q26" i="5"/>
  <c r="R18" i="4"/>
  <c r="Q18" i="4"/>
  <c r="O27" i="2"/>
  <c r="N27" i="2"/>
  <c r="N8" i="3"/>
  <c r="M8" i="3"/>
  <c r="V22" i="6"/>
  <c r="U22" i="6"/>
  <c r="R9" i="5"/>
  <c r="Q9" i="5"/>
  <c r="S22" i="2"/>
  <c r="R22" i="2"/>
  <c r="S5" i="4"/>
  <c r="T5" i="4"/>
  <c r="O13" i="6"/>
  <c r="P13" i="6"/>
  <c r="N10" i="2"/>
  <c r="O10" i="2"/>
  <c r="R21" i="3"/>
  <c r="Q21" i="3"/>
  <c r="T28" i="4"/>
  <c r="S28" i="4"/>
  <c r="P31" i="6"/>
  <c r="O31" i="6"/>
  <c r="P18" i="5"/>
  <c r="O18" i="5"/>
  <c r="L25" i="7"/>
  <c r="M22" i="7"/>
  <c r="T19" i="2"/>
  <c r="U19" i="2"/>
  <c r="P25" i="4"/>
  <c r="O25" i="4"/>
  <c r="P25" i="3"/>
  <c r="O25" i="3"/>
  <c r="C51" i="6"/>
  <c r="A54" i="6"/>
  <c r="AC52" i="6"/>
  <c r="R32" i="3"/>
  <c r="Q32" i="3"/>
  <c r="AF30" i="3"/>
  <c r="T28" i="3"/>
  <c r="S28" i="3"/>
  <c r="AG30" i="3"/>
  <c r="N15" i="3"/>
  <c r="M15" i="3"/>
  <c r="P11" i="3"/>
  <c r="O11" i="3"/>
  <c r="R8" i="4"/>
  <c r="Q8" i="4"/>
  <c r="M19" i="7" l="1"/>
  <c r="N18" i="7"/>
  <c r="T9" i="5"/>
  <c r="S9" i="5"/>
  <c r="Q11" i="3"/>
  <c r="R11" i="3"/>
  <c r="R9" i="6"/>
  <c r="Q9" i="6"/>
  <c r="P12" i="2"/>
  <c r="Q12" i="2"/>
  <c r="M12" i="7"/>
  <c r="N11" i="7"/>
  <c r="AG20" i="3"/>
  <c r="T18" i="3"/>
  <c r="AF20" i="3"/>
  <c r="S18" i="3"/>
  <c r="Q18" i="6"/>
  <c r="R18" i="6"/>
  <c r="S5" i="6"/>
  <c r="T5" i="6"/>
  <c r="P35" i="5"/>
  <c r="O35" i="5"/>
  <c r="R15" i="2"/>
  <c r="S15" i="2"/>
  <c r="AG34" i="3"/>
  <c r="AF34" i="3"/>
  <c r="S32" i="3"/>
  <c r="T32" i="3"/>
  <c r="M25" i="7"/>
  <c r="N22" i="7"/>
  <c r="P10" i="2"/>
  <c r="Q10" i="2"/>
  <c r="V22" i="5"/>
  <c r="U22" i="5"/>
  <c r="P15" i="3"/>
  <c r="O15" i="3"/>
  <c r="Q13" i="6"/>
  <c r="R13" i="6"/>
  <c r="X22" i="6"/>
  <c r="W22" i="6"/>
  <c r="R32" i="4"/>
  <c r="Q32" i="4"/>
  <c r="S26" i="6"/>
  <c r="T26" i="6"/>
  <c r="V13" i="5"/>
  <c r="U13" i="5"/>
  <c r="V11" i="4"/>
  <c r="U11" i="4"/>
  <c r="N27" i="7"/>
  <c r="M28" i="7"/>
  <c r="V5" i="4"/>
  <c r="U5" i="4"/>
  <c r="R5" i="5"/>
  <c r="Q5" i="5"/>
  <c r="Q27" i="2"/>
  <c r="P27" i="2"/>
  <c r="U17" i="2"/>
  <c r="T17" i="2"/>
  <c r="P8" i="2"/>
  <c r="Q8" i="2"/>
  <c r="T15" i="4"/>
  <c r="S15" i="4"/>
  <c r="V40" i="6"/>
  <c r="U40" i="6"/>
  <c r="T21" i="3"/>
  <c r="AG23" i="3"/>
  <c r="AF23" i="3"/>
  <c r="S21" i="3"/>
  <c r="Q25" i="3"/>
  <c r="R25" i="3"/>
  <c r="Q31" i="6"/>
  <c r="R31" i="6"/>
  <c r="U22" i="2"/>
  <c r="T22" i="2"/>
  <c r="T18" i="4"/>
  <c r="S18" i="4"/>
  <c r="M14" i="7"/>
  <c r="L15" i="7"/>
  <c r="Q5" i="3"/>
  <c r="R5" i="3"/>
  <c r="R18" i="5"/>
  <c r="Q18" i="5"/>
  <c r="O8" i="3"/>
  <c r="P8" i="3"/>
  <c r="S21" i="4"/>
  <c r="T21" i="4"/>
  <c r="L31" i="7"/>
  <c r="M30" i="7"/>
  <c r="S24" i="2"/>
  <c r="R24" i="2"/>
  <c r="V28" i="3"/>
  <c r="U28" i="3"/>
  <c r="R25" i="4"/>
  <c r="Q25" i="4"/>
  <c r="V28" i="4"/>
  <c r="U28" i="4"/>
  <c r="S8" i="4"/>
  <c r="T8" i="4"/>
  <c r="W19" i="2"/>
  <c r="V19" i="2"/>
  <c r="T26" i="5"/>
  <c r="S26" i="5"/>
  <c r="T35" i="6"/>
  <c r="S35" i="6"/>
  <c r="T40" i="5"/>
  <c r="S40" i="5"/>
  <c r="R31" i="5"/>
  <c r="Q31" i="5"/>
  <c r="O18" i="7" l="1"/>
  <c r="N19" i="7"/>
  <c r="T18" i="5"/>
  <c r="S18" i="5"/>
  <c r="U21" i="3"/>
  <c r="V21" i="3"/>
  <c r="S27" i="2"/>
  <c r="R27" i="2"/>
  <c r="S25" i="4"/>
  <c r="T25" i="4"/>
  <c r="U24" i="2"/>
  <c r="T24" i="2"/>
  <c r="W22" i="2"/>
  <c r="V22" i="2"/>
  <c r="X11" i="4"/>
  <c r="W11" i="4"/>
  <c r="T15" i="2"/>
  <c r="U15" i="2"/>
  <c r="R15" i="3"/>
  <c r="Q15" i="3"/>
  <c r="M31" i="7"/>
  <c r="N30" i="7"/>
  <c r="N12" i="7"/>
  <c r="O11" i="7"/>
  <c r="X40" i="6"/>
  <c r="W40" i="6"/>
  <c r="T31" i="5"/>
  <c r="S31" i="5"/>
  <c r="W28" i="4"/>
  <c r="X28" i="4"/>
  <c r="V21" i="4"/>
  <c r="U21" i="4"/>
  <c r="S12" i="2"/>
  <c r="R12" i="2"/>
  <c r="U8" i="4"/>
  <c r="V8" i="4"/>
  <c r="T5" i="3"/>
  <c r="S5" i="3"/>
  <c r="AG7" i="3"/>
  <c r="AF7" i="3"/>
  <c r="S5" i="5"/>
  <c r="T5" i="5"/>
  <c r="U15" i="4"/>
  <c r="V15" i="4"/>
  <c r="X5" i="4"/>
  <c r="W5" i="4"/>
  <c r="W13" i="5"/>
  <c r="X13" i="5"/>
  <c r="X22" i="5"/>
  <c r="W22" i="5"/>
  <c r="Q35" i="5"/>
  <c r="R35" i="5"/>
  <c r="U40" i="5"/>
  <c r="V40" i="5"/>
  <c r="R8" i="3"/>
  <c r="Q8" i="3"/>
  <c r="S31" i="6"/>
  <c r="T31" i="6"/>
  <c r="R8" i="2"/>
  <c r="S8" i="2"/>
  <c r="V26" i="6"/>
  <c r="U26" i="6"/>
  <c r="S10" i="2"/>
  <c r="R10" i="2"/>
  <c r="U5" i="6"/>
  <c r="V5" i="6"/>
  <c r="T9" i="6"/>
  <c r="S9" i="6"/>
  <c r="N14" i="7"/>
  <c r="M15" i="7"/>
  <c r="AF27" i="3"/>
  <c r="T25" i="3"/>
  <c r="S25" i="3"/>
  <c r="AG27" i="3"/>
  <c r="N25" i="7"/>
  <c r="O22" i="7"/>
  <c r="S18" i="6"/>
  <c r="T18" i="6"/>
  <c r="AF13" i="3"/>
  <c r="T11" i="3"/>
  <c r="S11" i="3"/>
  <c r="AG13" i="3"/>
  <c r="V17" i="2"/>
  <c r="W17" i="2"/>
  <c r="S32" i="4"/>
  <c r="T32" i="4"/>
  <c r="V35" i="6"/>
  <c r="U35" i="6"/>
  <c r="X28" i="3"/>
  <c r="W28" i="3"/>
  <c r="U26" i="5"/>
  <c r="V26" i="5"/>
  <c r="V32" i="3"/>
  <c r="U32" i="3"/>
  <c r="Z22" i="6"/>
  <c r="Y22" i="6"/>
  <c r="U9" i="5"/>
  <c r="V9" i="5"/>
  <c r="Y19" i="2"/>
  <c r="X19" i="2"/>
  <c r="V18" i="4"/>
  <c r="U18" i="4"/>
  <c r="N28" i="7"/>
  <c r="O27" i="7"/>
  <c r="S13" i="6"/>
  <c r="T13" i="6"/>
  <c r="V18" i="3"/>
  <c r="U18" i="3"/>
  <c r="O19" i="7" l="1"/>
  <c r="P18" i="7"/>
  <c r="O28" i="7"/>
  <c r="P27" i="7"/>
  <c r="X35" i="6"/>
  <c r="W35" i="6"/>
  <c r="X26" i="6"/>
  <c r="W26" i="6"/>
  <c r="X9" i="5"/>
  <c r="W9" i="5"/>
  <c r="Y17" i="2"/>
  <c r="X17" i="2"/>
  <c r="U25" i="3"/>
  <c r="V25" i="3"/>
  <c r="T12" i="2"/>
  <c r="U12" i="2"/>
  <c r="X40" i="5"/>
  <c r="W40" i="5"/>
  <c r="N31" i="7"/>
  <c r="O30" i="7"/>
  <c r="X22" i="2"/>
  <c r="Y22" i="2"/>
  <c r="T35" i="5"/>
  <c r="S35" i="5"/>
  <c r="V5" i="5"/>
  <c r="U5" i="5"/>
  <c r="V24" i="2"/>
  <c r="W24" i="2"/>
  <c r="T8" i="2"/>
  <c r="U8" i="2"/>
  <c r="X21" i="4"/>
  <c r="W21" i="4"/>
  <c r="V25" i="4"/>
  <c r="U25" i="4"/>
  <c r="X26" i="5"/>
  <c r="W26" i="5"/>
  <c r="X18" i="3"/>
  <c r="W18" i="3"/>
  <c r="AB22" i="6"/>
  <c r="AA22" i="6"/>
  <c r="AC22" i="6" s="1"/>
  <c r="O14" i="7"/>
  <c r="N15" i="7"/>
  <c r="Z28" i="4"/>
  <c r="Y28" i="4"/>
  <c r="AA19" i="2"/>
  <c r="AB19" i="2" s="1"/>
  <c r="AC19" i="2" s="1"/>
  <c r="Z19" i="2"/>
  <c r="U11" i="3"/>
  <c r="V11" i="3"/>
  <c r="U31" i="6"/>
  <c r="V31" i="6"/>
  <c r="AG17" i="3"/>
  <c r="AG38" i="3" s="1"/>
  <c r="S15" i="3"/>
  <c r="T15" i="3"/>
  <c r="AF17" i="3"/>
  <c r="U13" i="6"/>
  <c r="V13" i="6"/>
  <c r="Z22" i="5"/>
  <c r="Y22" i="5"/>
  <c r="W32" i="3"/>
  <c r="X32" i="3"/>
  <c r="Z28" i="3"/>
  <c r="Y28" i="3"/>
  <c r="U9" i="6"/>
  <c r="V9" i="6"/>
  <c r="Z13" i="5"/>
  <c r="Y13" i="5"/>
  <c r="T27" i="2"/>
  <c r="U27" i="2"/>
  <c r="X5" i="6"/>
  <c r="W5" i="6"/>
  <c r="V31" i="5"/>
  <c r="U31" i="5"/>
  <c r="V15" i="2"/>
  <c r="W15" i="2"/>
  <c r="X21" i="3"/>
  <c r="W21" i="3"/>
  <c r="U18" i="6"/>
  <c r="V18" i="6"/>
  <c r="Y5" i="4"/>
  <c r="Z5" i="4"/>
  <c r="V5" i="3"/>
  <c r="U5" i="3"/>
  <c r="V32" i="4"/>
  <c r="U32" i="4"/>
  <c r="O25" i="7"/>
  <c r="P22" i="7"/>
  <c r="Z40" i="6"/>
  <c r="Y40" i="6"/>
  <c r="X18" i="4"/>
  <c r="W18" i="4"/>
  <c r="T10" i="2"/>
  <c r="U10" i="2"/>
  <c r="S8" i="3"/>
  <c r="AG10" i="3"/>
  <c r="T8" i="3"/>
  <c r="AF10" i="3"/>
  <c r="AF38" i="3" s="1"/>
  <c r="X15" i="4"/>
  <c r="W15" i="4"/>
  <c r="X8" i="4"/>
  <c r="W8" i="4"/>
  <c r="O12" i="7"/>
  <c r="P11" i="7"/>
  <c r="Z11" i="4"/>
  <c r="Y11" i="4"/>
  <c r="V18" i="5"/>
  <c r="U18" i="5"/>
  <c r="Q18" i="7" l="1"/>
  <c r="P19" i="7"/>
  <c r="Z18" i="4"/>
  <c r="Y18" i="4"/>
  <c r="AG7" i="4"/>
  <c r="AF7" i="4"/>
  <c r="AA5" i="4"/>
  <c r="W31" i="6"/>
  <c r="X31" i="6"/>
  <c r="P14" i="7"/>
  <c r="O15" i="7"/>
  <c r="Y21" i="4"/>
  <c r="Z21" i="4"/>
  <c r="Y8" i="4"/>
  <c r="Z8" i="4"/>
  <c r="AB40" i="6"/>
  <c r="AA40" i="6"/>
  <c r="AC40" i="6" s="1"/>
  <c r="AA28" i="3"/>
  <c r="AC28" i="3" s="1"/>
  <c r="AE30" i="3" s="1"/>
  <c r="AB28" i="3"/>
  <c r="W8" i="2"/>
  <c r="V8" i="2"/>
  <c r="AA22" i="2"/>
  <c r="AB22" i="2" s="1"/>
  <c r="AC22" i="2" s="1"/>
  <c r="Z22" i="2"/>
  <c r="AB13" i="5"/>
  <c r="AC13" i="5" s="1"/>
  <c r="AA13" i="5"/>
  <c r="AA17" i="2"/>
  <c r="AB17" i="2" s="1"/>
  <c r="AC17" i="2" s="1"/>
  <c r="Z17" i="2"/>
  <c r="X25" i="3"/>
  <c r="W25" i="3"/>
  <c r="Z32" i="3"/>
  <c r="Y32" i="3"/>
  <c r="O31" i="7"/>
  <c r="P30" i="7"/>
  <c r="Z5" i="6"/>
  <c r="Y5" i="6"/>
  <c r="Z9" i="5"/>
  <c r="Y9" i="5"/>
  <c r="AB22" i="5"/>
  <c r="AC22" i="5" s="1"/>
  <c r="AA22" i="5"/>
  <c r="P25" i="7"/>
  <c r="Q22" i="7"/>
  <c r="W18" i="6"/>
  <c r="X18" i="6"/>
  <c r="Y24" i="2"/>
  <c r="X24" i="2"/>
  <c r="W27" i="2"/>
  <c r="V27" i="2"/>
  <c r="W13" i="6"/>
  <c r="X13" i="6"/>
  <c r="Z18" i="3"/>
  <c r="Y18" i="3"/>
  <c r="X5" i="5"/>
  <c r="W5" i="5"/>
  <c r="Y40" i="5"/>
  <c r="Z40" i="5"/>
  <c r="Y26" i="6"/>
  <c r="Z26" i="6"/>
  <c r="AF13" i="4"/>
  <c r="AA11" i="4"/>
  <c r="AG13" i="4"/>
  <c r="AM13" i="4" s="1"/>
  <c r="AO13" i="4" s="1"/>
  <c r="AQ13" i="4" s="1"/>
  <c r="X31" i="5"/>
  <c r="W31" i="5"/>
  <c r="X18" i="5"/>
  <c r="W18" i="5"/>
  <c r="Z21" i="3"/>
  <c r="Y21" i="3"/>
  <c r="X11" i="3"/>
  <c r="W11" i="3"/>
  <c r="Z15" i="4"/>
  <c r="Y15" i="4"/>
  <c r="V8" i="3"/>
  <c r="U8" i="3"/>
  <c r="X32" i="4"/>
  <c r="W32" i="4"/>
  <c r="W10" i="2"/>
  <c r="V10" i="2"/>
  <c r="Y15" i="2"/>
  <c r="X15" i="2"/>
  <c r="AG30" i="4"/>
  <c r="AF30" i="4"/>
  <c r="AA28" i="4"/>
  <c r="AC28" i="4" s="1"/>
  <c r="AE30" i="4" s="1"/>
  <c r="Z26" i="5"/>
  <c r="Y26" i="5"/>
  <c r="V35" i="5"/>
  <c r="U35" i="5"/>
  <c r="Z35" i="6"/>
  <c r="AA35" i="6" s="1"/>
  <c r="AC35" i="6" s="1"/>
  <c r="Y35" i="6"/>
  <c r="V15" i="3"/>
  <c r="U15" i="3"/>
  <c r="P28" i="7"/>
  <c r="Q27" i="7"/>
  <c r="V12" i="2"/>
  <c r="W12" i="2"/>
  <c r="P12" i="7"/>
  <c r="Q11" i="7"/>
  <c r="X5" i="3"/>
  <c r="W5" i="3"/>
  <c r="W9" i="6"/>
  <c r="X9" i="6"/>
  <c r="X25" i="4"/>
  <c r="W25" i="4"/>
  <c r="R18" i="7" l="1"/>
  <c r="Q19" i="7"/>
  <c r="R22" i="7"/>
  <c r="Q25" i="7"/>
  <c r="Y5" i="3"/>
  <c r="Z5" i="3"/>
  <c r="X35" i="5"/>
  <c r="W35" i="5"/>
  <c r="AB40" i="5"/>
  <c r="AC40" i="5" s="1"/>
  <c r="AA40" i="5"/>
  <c r="Z18" i="6"/>
  <c r="Y18" i="6"/>
  <c r="Z5" i="5"/>
  <c r="Y5" i="5"/>
  <c r="Z31" i="6"/>
  <c r="AA31" i="6" s="1"/>
  <c r="AC31" i="6" s="1"/>
  <c r="Y31" i="6"/>
  <c r="X12" i="2"/>
  <c r="Y12" i="2"/>
  <c r="W8" i="3"/>
  <c r="X8" i="3"/>
  <c r="Y18" i="5"/>
  <c r="Z18" i="5"/>
  <c r="Z25" i="3"/>
  <c r="Y25" i="3"/>
  <c r="Q28" i="7"/>
  <c r="R27" i="7"/>
  <c r="AG17" i="4"/>
  <c r="AM17" i="4" s="1"/>
  <c r="AO17" i="4" s="1"/>
  <c r="AQ17" i="4" s="1"/>
  <c r="AA15" i="4"/>
  <c r="AF17" i="4"/>
  <c r="Y31" i="5"/>
  <c r="Z31" i="5"/>
  <c r="AB18" i="3"/>
  <c r="AA18" i="3"/>
  <c r="AC18" i="3" s="1"/>
  <c r="AE20" i="3" s="1"/>
  <c r="Q12" i="7"/>
  <c r="R11" i="7"/>
  <c r="AB21" i="3"/>
  <c r="AA21" i="3"/>
  <c r="AC21" i="3" s="1"/>
  <c r="AE23" i="3" s="1"/>
  <c r="Z13" i="6"/>
  <c r="Y13" i="6"/>
  <c r="AB26" i="5"/>
  <c r="AC26" i="5" s="1"/>
  <c r="AA26" i="5"/>
  <c r="AA32" i="3"/>
  <c r="AC32" i="3" s="1"/>
  <c r="AE34" i="3" s="1"/>
  <c r="AB32" i="3"/>
  <c r="Z15" i="2"/>
  <c r="AA15" i="2"/>
  <c r="AB15" i="2" s="1"/>
  <c r="AC15" i="2" s="1"/>
  <c r="Y11" i="3"/>
  <c r="Z11" i="3"/>
  <c r="AA8" i="4"/>
  <c r="AC8" i="4" s="1"/>
  <c r="AE10" i="4" s="1"/>
  <c r="AF10" i="4"/>
  <c r="AG10" i="4"/>
  <c r="AC5" i="4"/>
  <c r="AN5" i="4"/>
  <c r="X10" i="2"/>
  <c r="Y10" i="2"/>
  <c r="AM7" i="4"/>
  <c r="AO7" i="4" s="1"/>
  <c r="AQ7" i="4" s="1"/>
  <c r="Z32" i="4"/>
  <c r="Y32" i="4"/>
  <c r="P15" i="7"/>
  <c r="Q14" i="7"/>
  <c r="Y8" i="2"/>
  <c r="X8" i="2"/>
  <c r="Z25" i="4"/>
  <c r="Y25" i="4"/>
  <c r="W15" i="3"/>
  <c r="X15" i="3"/>
  <c r="AC11" i="4"/>
  <c r="AN11" i="4"/>
  <c r="AB9" i="5"/>
  <c r="AC9" i="5" s="1"/>
  <c r="AA9" i="5"/>
  <c r="Z9" i="6"/>
  <c r="Y9" i="6"/>
  <c r="X27" i="2"/>
  <c r="Y27" i="2"/>
  <c r="AA26" i="6"/>
  <c r="AC26" i="6" s="1"/>
  <c r="AB26" i="6"/>
  <c r="AB5" i="6"/>
  <c r="AA5" i="6"/>
  <c r="AC5" i="6" s="1"/>
  <c r="Z24" i="2"/>
  <c r="AA24" i="2"/>
  <c r="AB24" i="2" s="1"/>
  <c r="AC24" i="2" s="1"/>
  <c r="Q30" i="7"/>
  <c r="P31" i="7"/>
  <c r="AG23" i="4"/>
  <c r="AM23" i="4" s="1"/>
  <c r="AO23" i="4" s="1"/>
  <c r="AQ23" i="4" s="1"/>
  <c r="AF23" i="4"/>
  <c r="AA21" i="4"/>
  <c r="AA18" i="4"/>
  <c r="AC18" i="4" s="1"/>
  <c r="AE20" i="4" s="1"/>
  <c r="AG20" i="4"/>
  <c r="AF20" i="4"/>
  <c r="S18" i="7" l="1"/>
  <c r="R19" i="7"/>
  <c r="AB25" i="3"/>
  <c r="AA25" i="3"/>
  <c r="AC25" i="3" s="1"/>
  <c r="AE27" i="3" s="1"/>
  <c r="AA27" i="2"/>
  <c r="AB27" i="2" s="1"/>
  <c r="AC27" i="2" s="1"/>
  <c r="Z27" i="2"/>
  <c r="Z15" i="3"/>
  <c r="Y15" i="3"/>
  <c r="Z10" i="2"/>
  <c r="AA10" i="2"/>
  <c r="AB10" i="2" s="1"/>
  <c r="AC10" i="2" s="1"/>
  <c r="AF27" i="4"/>
  <c r="AF38" i="4" s="1"/>
  <c r="AG27" i="4"/>
  <c r="AA25" i="4"/>
  <c r="AB31" i="5"/>
  <c r="AC31" i="5" s="1"/>
  <c r="AA31" i="5"/>
  <c r="AB18" i="6"/>
  <c r="AA18" i="6"/>
  <c r="AC18" i="6" s="1"/>
  <c r="AB18" i="5"/>
  <c r="AC18" i="5" s="1"/>
  <c r="AA18" i="5"/>
  <c r="AB9" i="6"/>
  <c r="AA9" i="6"/>
  <c r="AC9" i="6" s="1"/>
  <c r="AC47" i="6" s="1"/>
  <c r="AA8" i="2"/>
  <c r="AB8" i="2" s="1"/>
  <c r="AC8" i="2" s="1"/>
  <c r="AC32" i="2" s="1"/>
  <c r="Z8" i="2"/>
  <c r="AE7" i="4"/>
  <c r="AM5" i="4"/>
  <c r="AO5" i="4" s="1"/>
  <c r="Z8" i="3"/>
  <c r="Y8" i="3"/>
  <c r="AC15" i="4"/>
  <c r="AN15" i="4"/>
  <c r="Z35" i="5"/>
  <c r="Y35" i="5"/>
  <c r="R30" i="7"/>
  <c r="Q31" i="7"/>
  <c r="AB5" i="5"/>
  <c r="AC5" i="5" s="1"/>
  <c r="AA5" i="5"/>
  <c r="AA12" i="2"/>
  <c r="AB12" i="2" s="1"/>
  <c r="AC12" i="2" s="1"/>
  <c r="Z12" i="2"/>
  <c r="AB5" i="3"/>
  <c r="AA5" i="3"/>
  <c r="AC5" i="3" s="1"/>
  <c r="Q15" i="7"/>
  <c r="R14" i="7"/>
  <c r="AB13" i="6"/>
  <c r="AA13" i="6"/>
  <c r="AC13" i="6" s="1"/>
  <c r="AB11" i="3"/>
  <c r="AA11" i="3"/>
  <c r="AC11" i="3" s="1"/>
  <c r="AE13" i="3" s="1"/>
  <c r="R28" i="7"/>
  <c r="S27" i="7"/>
  <c r="AC21" i="4"/>
  <c r="AN21" i="4"/>
  <c r="AE13" i="4"/>
  <c r="AM11" i="4"/>
  <c r="AO11" i="4" s="1"/>
  <c r="AQ11" i="4" s="1"/>
  <c r="AG34" i="4"/>
  <c r="AF34" i="4"/>
  <c r="AA32" i="4"/>
  <c r="AC32" i="4" s="1"/>
  <c r="R12" i="7"/>
  <c r="S11" i="7"/>
  <c r="S22" i="7"/>
  <c r="R25" i="7"/>
  <c r="T18" i="7" l="1"/>
  <c r="S19" i="7"/>
  <c r="S30" i="7"/>
  <c r="R31" i="7"/>
  <c r="AM27" i="4"/>
  <c r="AO27" i="4" s="1"/>
  <c r="AQ27" i="4" s="1"/>
  <c r="AG38" i="4"/>
  <c r="AC25" i="4"/>
  <c r="AN25" i="4"/>
  <c r="R15" i="7"/>
  <c r="S14" i="7"/>
  <c r="AE17" i="4"/>
  <c r="AM15" i="4"/>
  <c r="AO15" i="4" s="1"/>
  <c r="AQ15" i="4" s="1"/>
  <c r="T22" i="7"/>
  <c r="S25" i="7"/>
  <c r="T11" i="7"/>
  <c r="S12" i="7"/>
  <c r="AE34" i="4"/>
  <c r="AL32" i="4"/>
  <c r="AB15" i="3"/>
  <c r="AA15" i="3"/>
  <c r="AC15" i="3" s="1"/>
  <c r="AE17" i="3" s="1"/>
  <c r="AE7" i="3"/>
  <c r="AE23" i="4"/>
  <c r="AM21" i="4"/>
  <c r="AO21" i="4" s="1"/>
  <c r="AQ21" i="4" s="1"/>
  <c r="S28" i="7"/>
  <c r="T27" i="7"/>
  <c r="AA8" i="3"/>
  <c r="AC8" i="3" s="1"/>
  <c r="AE10" i="3" s="1"/>
  <c r="AB8" i="3"/>
  <c r="AB35" i="5"/>
  <c r="AC35" i="5" s="1"/>
  <c r="AC47" i="5" s="1"/>
  <c r="AA35" i="5"/>
  <c r="AQ5" i="4"/>
  <c r="U18" i="7" l="1"/>
  <c r="T19" i="7"/>
  <c r="AE27" i="4"/>
  <c r="AE38" i="4" s="1"/>
  <c r="AC38" i="4"/>
  <c r="AM25" i="4"/>
  <c r="AO25" i="4" s="1"/>
  <c r="AQ25" i="4" s="1"/>
  <c r="AQ29" i="4" s="1"/>
  <c r="AO29" i="4"/>
  <c r="T28" i="7"/>
  <c r="U27" i="7"/>
  <c r="T12" i="7"/>
  <c r="U11" i="7"/>
  <c r="S31" i="7"/>
  <c r="T30" i="7"/>
  <c r="AE38" i="3"/>
  <c r="AC38" i="3"/>
  <c r="S15" i="7"/>
  <c r="T14" i="7"/>
  <c r="T25" i="7"/>
  <c r="U22" i="7"/>
  <c r="V18" i="7" l="1"/>
  <c r="U19" i="7"/>
  <c r="U25" i="7"/>
  <c r="V22" i="7"/>
  <c r="V11" i="7"/>
  <c r="U12" i="7"/>
  <c r="U14" i="7"/>
  <c r="T15" i="7"/>
  <c r="T31" i="7"/>
  <c r="U30" i="7"/>
  <c r="U28" i="7"/>
  <c r="V27" i="7"/>
  <c r="V19" i="7" l="1"/>
  <c r="W18" i="7"/>
  <c r="V25" i="7"/>
  <c r="W22" i="7"/>
  <c r="V28" i="7"/>
  <c r="W27" i="7"/>
  <c r="U31" i="7"/>
  <c r="V30" i="7"/>
  <c r="V31" i="7" s="1"/>
  <c r="V14" i="7"/>
  <c r="U15" i="7"/>
  <c r="V12" i="7"/>
  <c r="W11" i="7"/>
  <c r="X18" i="7" l="1"/>
  <c r="W19" i="7"/>
  <c r="W14" i="7"/>
  <c r="V15" i="7"/>
  <c r="W12" i="7"/>
  <c r="X11" i="7"/>
  <c r="W28" i="7"/>
  <c r="X27" i="7"/>
  <c r="W25" i="7"/>
  <c r="X22" i="7"/>
  <c r="X19" i="7" l="1"/>
  <c r="Y18" i="7"/>
  <c r="X25" i="7"/>
  <c r="Y22" i="7"/>
  <c r="X28" i="7"/>
  <c r="Y27" i="7"/>
  <c r="X12" i="7"/>
  <c r="Y11" i="7"/>
  <c r="X14" i="7"/>
  <c r="W15" i="7"/>
  <c r="Y19" i="7" l="1"/>
  <c r="Z18" i="7"/>
  <c r="Z27" i="7"/>
  <c r="Y28" i="7"/>
  <c r="Y14" i="7"/>
  <c r="X15" i="7"/>
  <c r="Y12" i="7"/>
  <c r="Z11" i="7"/>
  <c r="Y25" i="7"/>
  <c r="Z22" i="7"/>
  <c r="AA18" i="7" l="1"/>
  <c r="Z19" i="7"/>
  <c r="Z14" i="7"/>
  <c r="Y15" i="7"/>
  <c r="Z25" i="7"/>
  <c r="AA22" i="7"/>
  <c r="Z12" i="7"/>
  <c r="AA11" i="7"/>
  <c r="Z28" i="7"/>
  <c r="AA27" i="7"/>
  <c r="AA19" i="7" l="1"/>
  <c r="AB18" i="7"/>
  <c r="AA28" i="7"/>
  <c r="AB27" i="7"/>
  <c r="AA25" i="7"/>
  <c r="AB22" i="7"/>
  <c r="AA12" i="7"/>
  <c r="AB11" i="7"/>
  <c r="AA14" i="7"/>
  <c r="Z15" i="7"/>
  <c r="AC18" i="7" l="1"/>
  <c r="AB19" i="7"/>
  <c r="AB12" i="7"/>
  <c r="AC11" i="7"/>
  <c r="AB14" i="7"/>
  <c r="AA15" i="7"/>
  <c r="AB25" i="7"/>
  <c r="AC22" i="7"/>
  <c r="AB28" i="7"/>
  <c r="AC27" i="7"/>
  <c r="AD18" i="7" l="1"/>
  <c r="AC19" i="7"/>
  <c r="AD22" i="7"/>
  <c r="AC25" i="7"/>
  <c r="AC28" i="7"/>
  <c r="AD27" i="7"/>
  <c r="AB15" i="7"/>
  <c r="AC14" i="7"/>
  <c r="AC12" i="7"/>
  <c r="AD11" i="7"/>
  <c r="AE18" i="7" l="1"/>
  <c r="AD19" i="7"/>
  <c r="AD28" i="7"/>
  <c r="AE27" i="7"/>
  <c r="AD12" i="7"/>
  <c r="AE11" i="7"/>
  <c r="AC15" i="7"/>
  <c r="AD14" i="7"/>
  <c r="AE22" i="7"/>
  <c r="AD25" i="7"/>
  <c r="AF18" i="7" l="1"/>
  <c r="AE19" i="7"/>
  <c r="AF22" i="7"/>
  <c r="AE25" i="7"/>
  <c r="AD15" i="7"/>
  <c r="AE14" i="7"/>
  <c r="AF11" i="7"/>
  <c r="AE12" i="7"/>
  <c r="AE28" i="7"/>
  <c r="AF27" i="7"/>
  <c r="AG18" i="7" l="1"/>
  <c r="AF19" i="7"/>
  <c r="AE15" i="7"/>
  <c r="AF14" i="7"/>
  <c r="AF28" i="7"/>
  <c r="AG27" i="7"/>
  <c r="AF12" i="7"/>
  <c r="AG11" i="7"/>
  <c r="AF25" i="7"/>
  <c r="AG22" i="7"/>
  <c r="AG19" i="7" l="1"/>
  <c r="AH18" i="7"/>
  <c r="AH11" i="7"/>
  <c r="AG12" i="7"/>
  <c r="AG25" i="7"/>
  <c r="AH22" i="7"/>
  <c r="AG28" i="7"/>
  <c r="AH27" i="7"/>
  <c r="AG14" i="7"/>
  <c r="AF15" i="7"/>
  <c r="AH19" i="7" l="1"/>
  <c r="AI18" i="7"/>
  <c r="AH28" i="7"/>
  <c r="AI27" i="7"/>
  <c r="AH14" i="7"/>
  <c r="AG15" i="7"/>
  <c r="AH25" i="7"/>
  <c r="AI22" i="7"/>
  <c r="AH12" i="7"/>
  <c r="AI11" i="7"/>
  <c r="AJ18" i="7" l="1"/>
  <c r="AI19" i="7"/>
  <c r="AI12" i="7"/>
  <c r="AJ11" i="7"/>
  <c r="AI25" i="7"/>
  <c r="AJ22" i="7"/>
  <c r="AI14" i="7"/>
  <c r="AH15" i="7"/>
  <c r="AI28" i="7"/>
  <c r="AJ27" i="7"/>
  <c r="AJ19" i="7" l="1"/>
  <c r="AK18" i="7"/>
  <c r="AJ28" i="7"/>
  <c r="AK27" i="7"/>
  <c r="AJ14" i="7"/>
  <c r="AI15" i="7"/>
  <c r="AJ25" i="7"/>
  <c r="AK22" i="7"/>
  <c r="AJ12" i="7"/>
  <c r="AK11" i="7"/>
  <c r="AL18" i="7" l="1"/>
  <c r="AK19" i="7"/>
  <c r="AK12" i="7"/>
  <c r="AL11" i="7"/>
  <c r="AK25" i="7"/>
  <c r="AL22" i="7"/>
  <c r="AK14" i="7"/>
  <c r="AJ15" i="7"/>
  <c r="AL27" i="7"/>
  <c r="AK28" i="7"/>
  <c r="AM18" i="7" l="1"/>
  <c r="AL19" i="7"/>
  <c r="AL28" i="7"/>
  <c r="AM27" i="7"/>
  <c r="AL25" i="7"/>
  <c r="AM22" i="7"/>
  <c r="AL14" i="7"/>
  <c r="AK15" i="7"/>
  <c r="AL12" i="7"/>
  <c r="AM11" i="7"/>
  <c r="AM19" i="7" l="1"/>
  <c r="AN18" i="7"/>
  <c r="AM28" i="7"/>
  <c r="AN27" i="7"/>
  <c r="AM12" i="7"/>
  <c r="AN11" i="7"/>
  <c r="AM14" i="7"/>
  <c r="AL15" i="7"/>
  <c r="AM25" i="7"/>
  <c r="AN22" i="7"/>
  <c r="AO18" i="7" l="1"/>
  <c r="AN19" i="7"/>
  <c r="AN25" i="7"/>
  <c r="AO22" i="7"/>
  <c r="AN14" i="7"/>
  <c r="AM15" i="7"/>
  <c r="AN12" i="7"/>
  <c r="AO11" i="7"/>
  <c r="AN28" i="7"/>
  <c r="AO27" i="7"/>
  <c r="AO19" i="7" l="1"/>
  <c r="AP18" i="7"/>
  <c r="AO28" i="7"/>
  <c r="AP27" i="7"/>
  <c r="AO12" i="7"/>
  <c r="AP11" i="7"/>
  <c r="AN15" i="7"/>
  <c r="AO14" i="7"/>
  <c r="AP22" i="7"/>
  <c r="AO25" i="7"/>
  <c r="AQ18" i="7" l="1"/>
  <c r="AP19" i="7"/>
  <c r="AQ22" i="7"/>
  <c r="AP25" i="7"/>
  <c r="AO15" i="7"/>
  <c r="AP14" i="7"/>
  <c r="AP12" i="7"/>
  <c r="AQ11" i="7"/>
  <c r="AP28" i="7"/>
  <c r="AQ27" i="7"/>
  <c r="AR18" i="7" l="1"/>
  <c r="AQ19" i="7"/>
  <c r="AQ28" i="7"/>
  <c r="AR27" i="7"/>
  <c r="AR11" i="7"/>
  <c r="AQ12" i="7"/>
  <c r="AP15" i="7"/>
  <c r="AQ14" i="7"/>
  <c r="AR22" i="7"/>
  <c r="AQ25" i="7"/>
  <c r="AS18" i="7" l="1"/>
  <c r="AR19" i="7"/>
  <c r="AR12" i="7"/>
  <c r="AS11" i="7"/>
  <c r="AR25" i="7"/>
  <c r="AS22" i="7"/>
  <c r="AQ15" i="7"/>
  <c r="AR14" i="7"/>
  <c r="AR28" i="7"/>
  <c r="AS27" i="7"/>
  <c r="AT18" i="7" l="1"/>
  <c r="AS19" i="7"/>
  <c r="AS28" i="7"/>
  <c r="AT27" i="7"/>
  <c r="AS14" i="7"/>
  <c r="AR15" i="7"/>
  <c r="AS25" i="7"/>
  <c r="AT22" i="7"/>
  <c r="AT11" i="7"/>
  <c r="AS12" i="7"/>
  <c r="AT19" i="7" l="1"/>
  <c r="AU18" i="7"/>
  <c r="AT12" i="7"/>
  <c r="AU11" i="7"/>
  <c r="AT25" i="7"/>
  <c r="AU22" i="7"/>
  <c r="AT14" i="7"/>
  <c r="AS15" i="7"/>
  <c r="AT28" i="7"/>
  <c r="AU27" i="7"/>
  <c r="AV18" i="7" l="1"/>
  <c r="AU19" i="7"/>
  <c r="AU28" i="7"/>
  <c r="AV27" i="7"/>
  <c r="AU14" i="7"/>
  <c r="AT15" i="7"/>
  <c r="AU25" i="7"/>
  <c r="AV22" i="7"/>
  <c r="AU12" i="7"/>
  <c r="AV11" i="7"/>
  <c r="AV19" i="7" l="1"/>
  <c r="AW18" i="7"/>
  <c r="AV12" i="7"/>
  <c r="AW11" i="7"/>
  <c r="AV25" i="7"/>
  <c r="AW22" i="7"/>
  <c r="AV14" i="7"/>
  <c r="AU15" i="7"/>
  <c r="AV28" i="7"/>
  <c r="AW27" i="7"/>
  <c r="AW19" i="7" l="1"/>
  <c r="AX18" i="7"/>
  <c r="AX27" i="7"/>
  <c r="AW28" i="7"/>
  <c r="AW14" i="7"/>
  <c r="AV15" i="7"/>
  <c r="AW25" i="7"/>
  <c r="AX22" i="7"/>
  <c r="AW12" i="7"/>
  <c r="AX11" i="7"/>
  <c r="AX19" i="7" l="1"/>
  <c r="AY18" i="7"/>
  <c r="AY19" i="7" s="1"/>
  <c r="AX12" i="7"/>
  <c r="AY11" i="7"/>
  <c r="AX25" i="7"/>
  <c r="AY22" i="7"/>
  <c r="AX14" i="7"/>
  <c r="AW15" i="7"/>
  <c r="AX28" i="7"/>
  <c r="AY27" i="7"/>
  <c r="AY28" i="7" l="1"/>
  <c r="AZ27" i="7"/>
  <c r="AY14" i="7"/>
  <c r="AY15" i="7" s="1"/>
  <c r="AX15" i="7"/>
  <c r="AY25" i="7"/>
  <c r="AZ22" i="7"/>
  <c r="AY12" i="7"/>
  <c r="AZ11" i="7"/>
  <c r="AZ12" i="7" l="1"/>
  <c r="BA11" i="7"/>
  <c r="AZ25" i="7"/>
  <c r="BA22" i="7"/>
  <c r="AZ28" i="7"/>
  <c r="BA27" i="7"/>
  <c r="BA28" i="7" l="1"/>
  <c r="BB27" i="7"/>
  <c r="BB22" i="7"/>
  <c r="BA25" i="7"/>
  <c r="BA12" i="7"/>
  <c r="BB11" i="7"/>
  <c r="BB12" i="7" l="1"/>
  <c r="BC11" i="7"/>
  <c r="BC22" i="7"/>
  <c r="BB25" i="7"/>
  <c r="BB28" i="7"/>
  <c r="BC27" i="7"/>
  <c r="BC28" i="7" l="1"/>
  <c r="BD27" i="7"/>
  <c r="BD28" i="7" s="1"/>
  <c r="BD22" i="7"/>
  <c r="BD25" i="7" s="1"/>
  <c r="BC25" i="7"/>
  <c r="BD11" i="7"/>
  <c r="BD12" i="7" s="1"/>
  <c r="BC12" i="7"/>
</calcChain>
</file>

<file path=xl/sharedStrings.xml><?xml version="1.0" encoding="utf-8"?>
<sst xmlns="http://schemas.openxmlformats.org/spreadsheetml/2006/main" count="752" uniqueCount="330">
  <si>
    <t>2018 projections SWGloabalE</t>
  </si>
  <si>
    <t>COST</t>
  </si>
  <si>
    <t>use</t>
  </si>
  <si>
    <t>END INV</t>
  </si>
  <si>
    <t>SWGE-12-QR-SB-A</t>
  </si>
  <si>
    <t>SWGE-08-QR-SB-A</t>
  </si>
  <si>
    <t>SWGE-06-QR-SB-A</t>
  </si>
  <si>
    <t>SWGE-12-QR-LSB-A</t>
  </si>
  <si>
    <t>SWGE-08-QR-LSB-A</t>
  </si>
  <si>
    <t>SWGE-06-QR-LSB-A</t>
  </si>
  <si>
    <t>SWGE-12-SE-CL-SB-A</t>
  </si>
  <si>
    <t>P5412</t>
  </si>
  <si>
    <t>SWGE-PCB-1B-10A</t>
  </si>
  <si>
    <t>qty material received</t>
  </si>
  <si>
    <t>material costs</t>
  </si>
  <si>
    <t>invoiced</t>
  </si>
  <si>
    <t>expences</t>
  </si>
  <si>
    <t>*scotts pay moved to 3000</t>
  </si>
  <si>
    <t>usage updated</t>
  </si>
  <si>
    <t>2018 business [lan</t>
  </si>
  <si>
    <t>po 5031 placed</t>
  </si>
  <si>
    <t>po 5031 shipped</t>
  </si>
  <si>
    <t>purchase</t>
  </si>
  <si>
    <t>new usage</t>
  </si>
  <si>
    <t>received</t>
  </si>
  <si>
    <t>estimates</t>
  </si>
  <si>
    <t>dec 4 2018</t>
  </si>
  <si>
    <t>shipments/cost</t>
  </si>
  <si>
    <t>PO005030</t>
  </si>
  <si>
    <t>PO005031</t>
  </si>
  <si>
    <t>$5440.08 paid 12/21/17</t>
  </si>
  <si>
    <t>PLACE 05/15/2018</t>
  </si>
  <si>
    <t>act balance</t>
  </si>
  <si>
    <t xml:space="preserve">MATERIAL PAID </t>
  </si>
  <si>
    <t>business taxes</t>
  </si>
  <si>
    <t>business taxes(early 4100)</t>
  </si>
  <si>
    <t>$5k bonus</t>
  </si>
  <si>
    <t>PAY TAXES 13392</t>
  </si>
  <si>
    <t>cut pay to 2000</t>
  </si>
  <si>
    <t>goal $10k per month</t>
  </si>
  <si>
    <t>po 5031</t>
  </si>
  <si>
    <t>deposit due</t>
  </si>
  <si>
    <t>bal</t>
  </si>
  <si>
    <t>need material for deliver</t>
  </si>
  <si>
    <t>13960 SWGE12qrsba</t>
  </si>
  <si>
    <t>58 boxes</t>
  </si>
  <si>
    <t xml:space="preserve">   9720 SWGE08qrsba</t>
  </si>
  <si>
    <t>28 boxes</t>
  </si>
  <si>
    <t>2019 business [lan</t>
  </si>
  <si>
    <t>inv 06/18 adjustment</t>
  </si>
  <si>
    <t>year end</t>
  </si>
  <si>
    <t>$ cost of goods</t>
  </si>
  <si>
    <t>ave.sales$</t>
  </si>
  <si>
    <t>proj, inv</t>
  </si>
  <si>
    <t>current inv</t>
  </si>
  <si>
    <t>$ invoiced</t>
  </si>
  <si>
    <t>sales $</t>
  </si>
  <si>
    <t>cost</t>
  </si>
  <si>
    <t>total units in inventory</t>
  </si>
  <si>
    <t>invoiced/gross</t>
  </si>
  <si>
    <t>expences &amp; taxes</t>
  </si>
  <si>
    <t>act balance/net</t>
  </si>
  <si>
    <t>HESCO CREDIT $2116.69</t>
  </si>
  <si>
    <t>business taxes 6080</t>
  </si>
  <si>
    <t>keco deposit 4639.20</t>
  </si>
  <si>
    <t>business taxes 4700</t>
  </si>
  <si>
    <t>business taxes 3600</t>
  </si>
  <si>
    <t>po 005035 placed</t>
  </si>
  <si>
    <t>Real estate taxes 11782.54</t>
  </si>
  <si>
    <t>business taxes 4400</t>
  </si>
  <si>
    <t>Fuzho payment 4500</t>
  </si>
  <si>
    <t>keco payment 4500</t>
  </si>
  <si>
    <t>deposit $4062.80</t>
  </si>
  <si>
    <t>po cost $9500</t>
  </si>
  <si>
    <t>rec po5035</t>
  </si>
  <si>
    <t>goal $8k per month</t>
  </si>
  <si>
    <t>Place material order</t>
  </si>
  <si>
    <t>proposed 06/18/19</t>
  </si>
  <si>
    <t>sept buy</t>
  </si>
  <si>
    <t>12qr</t>
  </si>
  <si>
    <t>8qr</t>
  </si>
  <si>
    <t>6qr</t>
  </si>
  <si>
    <t>12qrlsb</t>
  </si>
  <si>
    <t>8qrlsb</t>
  </si>
  <si>
    <t>6qrlsb</t>
  </si>
  <si>
    <t>total</t>
  </si>
  <si>
    <t>deposit</t>
  </si>
  <si>
    <t>tarrif &amp; ship</t>
  </si>
  <si>
    <t>tarrif</t>
  </si>
  <si>
    <t>2020 business Plan</t>
  </si>
  <si>
    <t>06/01/2020 inventory</t>
  </si>
  <si>
    <t>ORDER FUZ</t>
  </si>
  <si>
    <t>rec. fuz</t>
  </si>
  <si>
    <t>ORDER fuz BY END OCT</t>
  </si>
  <si>
    <t>REC FUZ</t>
  </si>
  <si>
    <t>DEC 07 2019</t>
  </si>
  <si>
    <t>Business taxes</t>
  </si>
  <si>
    <t>INVENTORY ADJUSTMENTS</t>
  </si>
  <si>
    <t>real estate taxes</t>
  </si>
  <si>
    <t>13 cash19 pay</t>
  </si>
  <si>
    <t>credit hesco</t>
  </si>
  <si>
    <t>business tax 2092</t>
  </si>
  <si>
    <t>CESSNA HOME INS $2241</t>
  </si>
  <si>
    <t>business tax 3900</t>
  </si>
  <si>
    <t>business tax 3000</t>
  </si>
  <si>
    <t>real estate taxes $11822.08</t>
  </si>
  <si>
    <t>business tax 3700</t>
  </si>
  <si>
    <t>MAY 22 CSAA FJ 1500</t>
  </si>
  <si>
    <t>JUNE 9 CSAA YUMA 358</t>
  </si>
  <si>
    <t>fuz bal $10000</t>
  </si>
  <si>
    <t>BIKE INS. 1200</t>
  </si>
  <si>
    <t>fuz 2972.40 deposit</t>
  </si>
  <si>
    <t>fuz $12322.82 bal</t>
  </si>
  <si>
    <t>fuz deposit $4438.44</t>
  </si>
  <si>
    <t>Mission ins 779.15</t>
  </si>
  <si>
    <t>BONUS $10300.00</t>
  </si>
  <si>
    <t>purchase from Keco</t>
  </si>
  <si>
    <t>purchase from Fuzho</t>
  </si>
  <si>
    <t>keco balance $8000</t>
  </si>
  <si>
    <t>Fuz bal</t>
  </si>
  <si>
    <t>BUY PLAN 05/26/2020</t>
  </si>
  <si>
    <t>BOXES</t>
  </si>
  <si>
    <t>6188 units</t>
  </si>
  <si>
    <t xml:space="preserve">12 pos </t>
  </si>
  <si>
    <t>8 pos</t>
  </si>
  <si>
    <t>6 pos</t>
  </si>
  <si>
    <t>50% dep</t>
  </si>
  <si>
    <t xml:space="preserve">12lsb </t>
  </si>
  <si>
    <t>12L</t>
  </si>
  <si>
    <t>8lsb</t>
  </si>
  <si>
    <t>8L</t>
  </si>
  <si>
    <t xml:space="preserve">6lsb </t>
  </si>
  <si>
    <t>6L</t>
  </si>
  <si>
    <t xml:space="preserve">ce </t>
  </si>
  <si>
    <t>12CE</t>
  </si>
  <si>
    <t>chngebox size</t>
  </si>
  <si>
    <t xml:space="preserve">p5412 </t>
  </si>
  <si>
    <t>DEPOSIT</t>
  </si>
  <si>
    <t>30% dep</t>
  </si>
  <si>
    <t>BAL</t>
  </si>
  <si>
    <t>bal. due</t>
  </si>
  <si>
    <t>NEW TARRIF COST</t>
  </si>
  <si>
    <t>PO 5035</t>
  </si>
  <si>
    <t xml:space="preserve">SWGE-12-QR-SB-A </t>
  </si>
  <si>
    <t>BUY PLAN 10/26/2020</t>
  </si>
  <si>
    <t>DELAY TILL NOVEMBER</t>
  </si>
  <si>
    <t xml:space="preserve">SWGE-12-QR-LSB-A </t>
  </si>
  <si>
    <t xml:space="preserve">SWGE-08-QR-LSB-A </t>
  </si>
  <si>
    <t>2021 business Plan</t>
  </si>
  <si>
    <t>dec22 inv</t>
  </si>
  <si>
    <t>placed po 5041 06/19</t>
  </si>
  <si>
    <t>received po 5039 07/20</t>
  </si>
  <si>
    <t>RECEIVE PO5040</t>
  </si>
  <si>
    <t>PLACE PO5043</t>
  </si>
  <si>
    <t>with possible buy added</t>
  </si>
  <si>
    <t>DEC 4 2020</t>
  </si>
  <si>
    <t>INV CORRECTIONS 06/24</t>
  </si>
  <si>
    <t>placed po 5039 04/02</t>
  </si>
  <si>
    <t>placed po 5040 06/16</t>
  </si>
  <si>
    <t>po 5040 shipped 07/28</t>
  </si>
  <si>
    <t>XXX</t>
  </si>
  <si>
    <t>5/1/202</t>
  </si>
  <si>
    <t>COST, DUTY, TAX</t>
  </si>
  <si>
    <t>Ave. Sales $</t>
  </si>
  <si>
    <t>.</t>
  </si>
  <si>
    <t>NCR011221</t>
  </si>
  <si>
    <t>$800 franchise tax</t>
  </si>
  <si>
    <t>MAY 22 CSAA FJ 1336</t>
  </si>
  <si>
    <t>IRS  2700</t>
  </si>
  <si>
    <t>Mission ins 822.15</t>
  </si>
  <si>
    <t>real estate taxes $5996.58</t>
  </si>
  <si>
    <t>$1358 IRS</t>
  </si>
  <si>
    <t>CESSNA HOME INS $2757.15</t>
  </si>
  <si>
    <t>Franchise Tax 107</t>
  </si>
  <si>
    <t>po5040 deposit</t>
  </si>
  <si>
    <t>SHIP PO 5040 $11000</t>
  </si>
  <si>
    <t>Franchise Tax 0</t>
  </si>
  <si>
    <t>CESSNA</t>
  </si>
  <si>
    <t>Franchise Tax 500</t>
  </si>
  <si>
    <t>$830 CCA LLP</t>
  </si>
  <si>
    <t>ups store $350</t>
  </si>
  <si>
    <t>JUNE 9 CSAA YUMA 362.15</t>
  </si>
  <si>
    <t xml:space="preserve">po 5041 deposit </t>
  </si>
  <si>
    <t>SHIP PO 5041 $5000</t>
  </si>
  <si>
    <t>REC 5040 SHIPPING $5494.414000</t>
  </si>
  <si>
    <t>rec po 5041 $2000</t>
  </si>
  <si>
    <t>YUMA</t>
  </si>
  <si>
    <t>$4185.20 PO 5039 DEPOSIT</t>
  </si>
  <si>
    <t>$11700 PO 5039</t>
  </si>
  <si>
    <t>MISSION</t>
  </si>
  <si>
    <t>DUTIES</t>
  </si>
  <si>
    <t>DEPOSIT PO 5043 $4000</t>
  </si>
  <si>
    <t>place po 5042</t>
  </si>
  <si>
    <t xml:space="preserve">SHIP PO 5042 </t>
  </si>
  <si>
    <t xml:space="preserve"> </t>
  </si>
  <si>
    <t>po 5041</t>
  </si>
  <si>
    <t>PO5039</t>
  </si>
  <si>
    <t>po5040</t>
  </si>
  <si>
    <t>PO5042 NOT RELEASAED</t>
  </si>
  <si>
    <t>revised 03/24/2021</t>
  </si>
  <si>
    <t>revised 06/16/2021</t>
  </si>
  <si>
    <t>possible oct buy</t>
  </si>
  <si>
    <t>BUY PLAN 04/01/2021</t>
  </si>
  <si>
    <t>BUY PLAN 08/01/2021</t>
  </si>
  <si>
    <t xml:space="preserve">BUY PLAN </t>
  </si>
  <si>
    <t>PAID</t>
  </si>
  <si>
    <t>SHIP/DUTIES</t>
  </si>
  <si>
    <t>TOTAL LANDED COSTS</t>
  </si>
  <si>
    <t>PCC LOGISTICS</t>
  </si>
  <si>
    <t>BINEX</t>
  </si>
  <si>
    <t xml:space="preserve">COST PER PIN </t>
  </si>
  <si>
    <t>SHIPPING DUTIES</t>
  </si>
  <si>
    <t>UNIT COST</t>
  </si>
  <si>
    <t>REAL UNIT</t>
  </si>
  <si>
    <t>NUMBER OF PINS</t>
  </si>
  <si>
    <t>PER UNIT</t>
  </si>
  <si>
    <t>TAXES &amp; CPA</t>
  </si>
  <si>
    <t>2022 business Plan</t>
  </si>
  <si>
    <t>INV JAN 1 2022</t>
  </si>
  <si>
    <t>PO5044 PLACED MARCH 22 2022</t>
  </si>
  <si>
    <t>po5045 placed 04/13/2022</t>
  </si>
  <si>
    <t>REC FUJIAN JUNE 30 2022</t>
  </si>
  <si>
    <t>RECEIVE KECO</t>
  </si>
  <si>
    <t>PLACED PO 5046 08/01/22</t>
  </si>
  <si>
    <t>REC PO 5046</t>
  </si>
  <si>
    <t>fujain</t>
  </si>
  <si>
    <t>keco</t>
  </si>
  <si>
    <t>PAY FUJIAN 14000</t>
  </si>
  <si>
    <t>PAY KECO 5569.20</t>
  </si>
  <si>
    <t xml:space="preserve">  </t>
  </si>
  <si>
    <t>BMW 18F0225</t>
  </si>
  <si>
    <t>IRS 3300</t>
  </si>
  <si>
    <t>csaa mission</t>
  </si>
  <si>
    <t>IRS  3300</t>
  </si>
  <si>
    <t>po 5046 $3285</t>
  </si>
  <si>
    <t>KTM</t>
  </si>
  <si>
    <t>CCA LLP 870</t>
  </si>
  <si>
    <t>CESSNA HOME INS $3563.15</t>
  </si>
  <si>
    <t>Franchise Tax 600</t>
  </si>
  <si>
    <t>PO 5046 DEPOSIT $2820.00</t>
  </si>
  <si>
    <t>progressive 1358.04</t>
  </si>
  <si>
    <t>KAW</t>
  </si>
  <si>
    <t>IRS 2230</t>
  </si>
  <si>
    <t>ups store $405</t>
  </si>
  <si>
    <t>JUNE 9 CSAA YUMA 488.15</t>
  </si>
  <si>
    <t>deposit sent 08/01/2022</t>
  </si>
  <si>
    <t>FJ REG $168</t>
  </si>
  <si>
    <t xml:space="preserve">HESCO CREDIT </t>
  </si>
  <si>
    <t>CSAA MEMBERSHIP $190</t>
  </si>
  <si>
    <t>po 5046 $5000</t>
  </si>
  <si>
    <t>FRANCHIS TAX 346</t>
  </si>
  <si>
    <t>$6236.20 deposit sent po5044</t>
  </si>
  <si>
    <t>$6069.20.00 DEPOSIT PO5045</t>
  </si>
  <si>
    <t>$14000.00 Balance PO 5044</t>
  </si>
  <si>
    <t>$5569.2 Balance</t>
  </si>
  <si>
    <t>PO5042</t>
  </si>
  <si>
    <t xml:space="preserve">PO5044 </t>
  </si>
  <si>
    <t>.28 per unit</t>
  </si>
  <si>
    <t>po 5045</t>
  </si>
  <si>
    <t>.17 per unit</t>
  </si>
  <si>
    <t xml:space="preserve">PO5046 </t>
  </si>
  <si>
    <t xml:space="preserve">PO5047 NOT RELEASED </t>
  </si>
  <si>
    <t>Purchasing Guide
Effective 04/21/2025</t>
  </si>
  <si>
    <t>Instructions for Use</t>
  </si>
  <si>
    <r>
      <rPr>
        <b/>
        <sz val="11"/>
        <color theme="1"/>
        <rFont val="Calibri"/>
      </rPr>
      <t xml:space="preserve">Please order such that each product will have complete boxes of each product by only ordering the quanties listed for that product. 
</t>
    </r>
    <r>
      <rPr>
        <sz val="11"/>
        <color theme="1"/>
        <rFont val="Calibri"/>
      </rPr>
      <t xml:space="preserve">
Full cases of a product are denoted with a darker color.
UPS Ground Shipping for each case of product will be charged at $32.00/Case. 
Partial cases may ship at lower costs. </t>
    </r>
  </si>
  <si>
    <t>Number of Parts</t>
  </si>
  <si>
    <t>Complete Boxes</t>
  </si>
  <si>
    <t>Full Cases</t>
  </si>
  <si>
    <t>Product</t>
  </si>
  <si>
    <t>Tariff Fee Per Part</t>
  </si>
  <si>
    <t>Parts Per Box</t>
  </si>
  <si>
    <t>Boxes Per Case</t>
  </si>
  <si>
    <t>1 box</t>
  </si>
  <si>
    <t>2 boxes</t>
  </si>
  <si>
    <t>3 boxes</t>
  </si>
  <si>
    <t>4 boxes</t>
  </si>
  <si>
    <t>5 boxes</t>
  </si>
  <si>
    <t>6 boxes</t>
  </si>
  <si>
    <t>7 boxes</t>
  </si>
  <si>
    <t>8 boxes</t>
  </si>
  <si>
    <t>9 boxes</t>
  </si>
  <si>
    <t>10 boxes</t>
  </si>
  <si>
    <t>11 boxes</t>
  </si>
  <si>
    <t>12 boxes</t>
  </si>
  <si>
    <t>13 boxes</t>
  </si>
  <si>
    <t>14 boxes</t>
  </si>
  <si>
    <t>15 boxes</t>
  </si>
  <si>
    <t>16 boxes</t>
  </si>
  <si>
    <t>17 boxes</t>
  </si>
  <si>
    <t>18 boxes</t>
  </si>
  <si>
    <t>19 boxes</t>
  </si>
  <si>
    <t>20 boxes</t>
  </si>
  <si>
    <t>21 boxes</t>
  </si>
  <si>
    <t>22 boxes</t>
  </si>
  <si>
    <t>23 boxes</t>
  </si>
  <si>
    <t>24 boxes</t>
  </si>
  <si>
    <t>25 boxes</t>
  </si>
  <si>
    <t>26 boxes</t>
  </si>
  <si>
    <t>27 boxes</t>
  </si>
  <si>
    <t>29 boxes</t>
  </si>
  <si>
    <t>30 boxes</t>
  </si>
  <si>
    <t>31 boxes</t>
  </si>
  <si>
    <t>32 boxes</t>
  </si>
  <si>
    <t>33 boxes</t>
  </si>
  <si>
    <t>34 boxes</t>
  </si>
  <si>
    <t>35 boxes</t>
  </si>
  <si>
    <t>36 boxes</t>
  </si>
  <si>
    <t>37 boxes</t>
  </si>
  <si>
    <t>38 boxes</t>
  </si>
  <si>
    <t>39 boxes</t>
  </si>
  <si>
    <t>40 boxes</t>
  </si>
  <si>
    <t>41 boxes</t>
  </si>
  <si>
    <t>42 boxes</t>
  </si>
  <si>
    <t>43 boxes</t>
  </si>
  <si>
    <t>44 boxes</t>
  </si>
  <si>
    <t>45 boxes</t>
  </si>
  <si>
    <t>46 boxes</t>
  </si>
  <si>
    <t>47 boxes</t>
  </si>
  <si>
    <t>48 boxes</t>
  </si>
  <si>
    <t>49 boxes</t>
  </si>
  <si>
    <t>50 boxes</t>
  </si>
  <si>
    <t># of Parts</t>
  </si>
  <si>
    <t>Tariff Fee</t>
  </si>
  <si>
    <t>SWGE-12-CE-CL-A</t>
  </si>
  <si>
    <t>P5412-4-CL-SB-A</t>
  </si>
  <si>
    <t>jan 1 2024</t>
  </si>
  <si>
    <t xml:space="preserve">qty </t>
  </si>
  <si>
    <t>boxes</t>
  </si>
  <si>
    <t>pcb</t>
  </si>
  <si>
    <t>SWGE-12-QR-CL-SB-A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</si>
</sst>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[$-409]d\-mmm\-yy"/>
    <numFmt numFmtId="166" formatCode="&quot;$&quot;#,##0.000"/>
    <numFmt numFmtId="167" formatCode="&quot;$&quot;#,##0.0000"/>
    <numFmt numFmtId="168" formatCode="#,##0.000"/>
  </numFmts>
  <fonts count="10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1"/>
      <color rgb="FFFFFF00"/>
      <name val="Calibri"/>
    </font>
    <font>
      <b/>
      <sz val="13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name val="Calibri"/>
    </font>
    <font>
      <b/>
      <sz val="11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rgb="FFF4B083"/>
        <bgColor rgb="FFF4B08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434343"/>
        <bgColor rgb="FF434343"/>
      </patternFill>
    </fill>
  </fills>
  <borders count="42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8">
    <xf numFmtId="0" fontId="0" fillId="0" borderId="0" xfId="0"/>
    <xf numFmtId="164" fontId="1" fillId="0" borderId="0" xfId="0" applyNumberFormat="1" applyFont="1"/>
    <xf numFmtId="1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164" fontId="1" fillId="0" borderId="1" xfId="0" applyNumberFormat="1" applyFont="1" applyBorder="1"/>
    <xf numFmtId="166" fontId="1" fillId="0" borderId="0" xfId="0" applyNumberFormat="1" applyFont="1"/>
    <xf numFmtId="0" fontId="1" fillId="0" borderId="3" xfId="0" applyFont="1" applyBorder="1"/>
    <xf numFmtId="166" fontId="1" fillId="0" borderId="4" xfId="0" applyNumberFormat="1" applyFont="1" applyBorder="1"/>
    <xf numFmtId="0" fontId="1" fillId="4" borderId="2" xfId="0" applyFont="1" applyFill="1" applyBorder="1"/>
    <xf numFmtId="2" fontId="1" fillId="3" borderId="2" xfId="0" applyNumberFormat="1" applyFont="1" applyFill="1" applyBorder="1"/>
    <xf numFmtId="14" fontId="1" fillId="0" borderId="0" xfId="0" applyNumberFormat="1" applyFont="1"/>
    <xf numFmtId="166" fontId="1" fillId="0" borderId="5" xfId="0" applyNumberFormat="1" applyFont="1" applyBorder="1"/>
    <xf numFmtId="0" fontId="1" fillId="0" borderId="6" xfId="0" applyFont="1" applyBorder="1"/>
    <xf numFmtId="165" fontId="1" fillId="3" borderId="7" xfId="0" applyNumberFormat="1" applyFont="1" applyFill="1" applyBorder="1"/>
    <xf numFmtId="2" fontId="1" fillId="3" borderId="8" xfId="0" applyNumberFormat="1" applyFont="1" applyFill="1" applyBorder="1"/>
    <xf numFmtId="165" fontId="1" fillId="5" borderId="7" xfId="0" applyNumberFormat="1" applyFont="1" applyFill="1" applyBorder="1"/>
    <xf numFmtId="2" fontId="1" fillId="5" borderId="8" xfId="0" applyNumberFormat="1" applyFont="1" applyFill="1" applyBorder="1"/>
    <xf numFmtId="166" fontId="1" fillId="0" borderId="9" xfId="0" applyNumberFormat="1" applyFont="1" applyBorder="1"/>
    <xf numFmtId="0" fontId="1" fillId="0" borderId="10" xfId="0" applyFont="1" applyBorder="1"/>
    <xf numFmtId="0" fontId="1" fillId="3" borderId="11" xfId="0" applyFont="1" applyFill="1" applyBorder="1"/>
    <xf numFmtId="2" fontId="1" fillId="3" borderId="12" xfId="0" applyNumberFormat="1" applyFont="1" applyFill="1" applyBorder="1"/>
    <xf numFmtId="14" fontId="1" fillId="3" borderId="11" xfId="0" applyNumberFormat="1" applyFont="1" applyFill="1" applyBorder="1"/>
    <xf numFmtId="0" fontId="1" fillId="5" borderId="11" xfId="0" applyFont="1" applyFill="1" applyBorder="1"/>
    <xf numFmtId="2" fontId="1" fillId="5" borderId="12" xfId="0" applyNumberFormat="1" applyFont="1" applyFill="1" applyBorder="1"/>
    <xf numFmtId="0" fontId="1" fillId="0" borderId="13" xfId="0" applyFont="1" applyBorder="1"/>
    <xf numFmtId="0" fontId="1" fillId="0" borderId="5" xfId="0" applyFont="1" applyBorder="1"/>
    <xf numFmtId="2" fontId="1" fillId="0" borderId="6" xfId="0" applyNumberFormat="1" applyFont="1" applyBorder="1"/>
    <xf numFmtId="0" fontId="1" fillId="0" borderId="14" xfId="0" applyFont="1" applyBorder="1"/>
    <xf numFmtId="1" fontId="1" fillId="3" borderId="12" xfId="0" applyNumberFormat="1" applyFont="1" applyFill="1" applyBorder="1"/>
    <xf numFmtId="0" fontId="1" fillId="0" borderId="9" xfId="0" applyFont="1" applyBorder="1"/>
    <xf numFmtId="164" fontId="1" fillId="0" borderId="10" xfId="0" applyNumberFormat="1" applyFont="1" applyBorder="1"/>
    <xf numFmtId="2" fontId="1" fillId="0" borderId="10" xfId="0" applyNumberFormat="1" applyFont="1" applyBorder="1"/>
    <xf numFmtId="0" fontId="1" fillId="0" borderId="15" xfId="0" applyFont="1" applyBorder="1"/>
    <xf numFmtId="166" fontId="1" fillId="0" borderId="16" xfId="0" applyNumberFormat="1" applyFont="1" applyBorder="1"/>
    <xf numFmtId="1" fontId="1" fillId="3" borderId="17" xfId="0" applyNumberFormat="1" applyFont="1" applyFill="1" applyBorder="1"/>
    <xf numFmtId="0" fontId="1" fillId="0" borderId="16" xfId="0" applyFont="1" applyBorder="1"/>
    <xf numFmtId="164" fontId="1" fillId="0" borderId="18" xfId="0" applyNumberFormat="1" applyFont="1" applyBorder="1"/>
    <xf numFmtId="2" fontId="1" fillId="0" borderId="18" xfId="0" applyNumberFormat="1" applyFont="1" applyBorder="1"/>
    <xf numFmtId="0" fontId="1" fillId="5" borderId="19" xfId="0" applyFont="1" applyFill="1" applyBorder="1"/>
    <xf numFmtId="0" fontId="1" fillId="0" borderId="20" xfId="0" applyFont="1" applyBorder="1"/>
    <xf numFmtId="3" fontId="1" fillId="0" borderId="5" xfId="0" applyNumberFormat="1" applyFont="1" applyBorder="1"/>
    <xf numFmtId="0" fontId="1" fillId="0" borderId="21" xfId="0" applyFont="1" applyBorder="1"/>
    <xf numFmtId="1" fontId="1" fillId="0" borderId="10" xfId="0" applyNumberFormat="1" applyFont="1" applyBorder="1"/>
    <xf numFmtId="0" fontId="1" fillId="0" borderId="22" xfId="0" applyFont="1" applyBorder="1"/>
    <xf numFmtId="164" fontId="1" fillId="0" borderId="5" xfId="0" applyNumberFormat="1" applyFont="1" applyBorder="1"/>
    <xf numFmtId="164" fontId="1" fillId="0" borderId="23" xfId="0" applyNumberFormat="1" applyFont="1" applyBorder="1"/>
    <xf numFmtId="164" fontId="1" fillId="0" borderId="6" xfId="0" applyNumberFormat="1" applyFont="1" applyBorder="1"/>
    <xf numFmtId="164" fontId="1" fillId="0" borderId="9" xfId="0" applyNumberFormat="1" applyFont="1" applyBorder="1"/>
    <xf numFmtId="164" fontId="1" fillId="0" borderId="16" xfId="0" applyNumberFormat="1" applyFont="1" applyBorder="1"/>
    <xf numFmtId="164" fontId="1" fillId="0" borderId="24" xfId="0" applyNumberFormat="1" applyFont="1" applyBorder="1"/>
    <xf numFmtId="0" fontId="1" fillId="6" borderId="2" xfId="0" applyFont="1" applyFill="1" applyBorder="1"/>
    <xf numFmtId="165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2" borderId="11" xfId="0" applyFont="1" applyFill="1" applyBorder="1"/>
    <xf numFmtId="2" fontId="1" fillId="2" borderId="12" xfId="0" applyNumberFormat="1" applyFont="1" applyFill="1" applyBorder="1"/>
    <xf numFmtId="14" fontId="1" fillId="2" borderId="11" xfId="0" applyNumberFormat="1" applyFont="1" applyFill="1" applyBorder="1"/>
    <xf numFmtId="0" fontId="1" fillId="6" borderId="7" xfId="0" applyFont="1" applyFill="1" applyBorder="1"/>
    <xf numFmtId="2" fontId="1" fillId="0" borderId="23" xfId="0" applyNumberFormat="1" applyFont="1" applyBorder="1"/>
    <xf numFmtId="0" fontId="1" fillId="0" borderId="23" xfId="0" applyFont="1" applyBorder="1"/>
    <xf numFmtId="3" fontId="1" fillId="0" borderId="0" xfId="0" applyNumberFormat="1" applyFont="1"/>
    <xf numFmtId="0" fontId="1" fillId="6" borderId="11" xfId="0" applyFont="1" applyFill="1" applyBorder="1"/>
    <xf numFmtId="2" fontId="1" fillId="0" borderId="5" xfId="0" applyNumberFormat="1" applyFont="1" applyBorder="1"/>
    <xf numFmtId="3" fontId="1" fillId="0" borderId="9" xfId="0" applyNumberFormat="1" applyFont="1" applyBorder="1"/>
    <xf numFmtId="1" fontId="1" fillId="0" borderId="18" xfId="0" applyNumberFormat="1" applyFont="1" applyBorder="1"/>
    <xf numFmtId="1" fontId="1" fillId="0" borderId="6" xfId="0" applyNumberFormat="1" applyFont="1" applyBorder="1"/>
    <xf numFmtId="0" fontId="1" fillId="0" borderId="25" xfId="0" applyFont="1" applyBorder="1"/>
    <xf numFmtId="0" fontId="1" fillId="0" borderId="24" xfId="0" applyFont="1" applyBorder="1"/>
    <xf numFmtId="166" fontId="1" fillId="0" borderId="24" xfId="0" applyNumberFormat="1" applyFont="1" applyBorder="1"/>
    <xf numFmtId="164" fontId="1" fillId="0" borderId="26" xfId="0" applyNumberFormat="1" applyFont="1" applyBorder="1"/>
    <xf numFmtId="164" fontId="3" fillId="0" borderId="0" xfId="0" applyNumberFormat="1" applyFont="1"/>
    <xf numFmtId="164" fontId="1" fillId="7" borderId="17" xfId="0" applyNumberFormat="1" applyFont="1" applyFill="1" applyBorder="1"/>
    <xf numFmtId="164" fontId="1" fillId="3" borderId="19" xfId="0" applyNumberFormat="1" applyFont="1" applyFill="1" applyBorder="1"/>
    <xf numFmtId="8" fontId="1" fillId="0" borderId="9" xfId="0" applyNumberFormat="1" applyFont="1" applyBorder="1"/>
    <xf numFmtId="2" fontId="1" fillId="4" borderId="2" xfId="0" applyNumberFormat="1" applyFont="1" applyFill="1" applyBorder="1"/>
    <xf numFmtId="2" fontId="4" fillId="2" borderId="8" xfId="0" applyNumberFormat="1" applyFont="1" applyFill="1" applyBorder="1"/>
    <xf numFmtId="2" fontId="2" fillId="0" borderId="0" xfId="0" applyNumberFormat="1" applyFont="1"/>
    <xf numFmtId="0" fontId="4" fillId="2" borderId="11" xfId="0" applyFont="1" applyFill="1" applyBorder="1"/>
    <xf numFmtId="2" fontId="4" fillId="2" borderId="12" xfId="0" applyNumberFormat="1" applyFont="1" applyFill="1" applyBorder="1"/>
    <xf numFmtId="1" fontId="1" fillId="0" borderId="5" xfId="0" applyNumberFormat="1" applyFont="1" applyBorder="1"/>
    <xf numFmtId="2" fontId="1" fillId="6" borderId="8" xfId="0" applyNumberFormat="1" applyFont="1" applyFill="1" applyBorder="1"/>
    <xf numFmtId="164" fontId="1" fillId="6" borderId="17" xfId="0" applyNumberFormat="1" applyFont="1" applyFill="1" applyBorder="1"/>
    <xf numFmtId="164" fontId="2" fillId="0" borderId="0" xfId="0" applyNumberFormat="1" applyFont="1"/>
    <xf numFmtId="164" fontId="1" fillId="3" borderId="17" xfId="0" applyNumberFormat="1" applyFont="1" applyFill="1" applyBorder="1"/>
    <xf numFmtId="0" fontId="1" fillId="2" borderId="12" xfId="0" applyFont="1" applyFill="1" applyBorder="1"/>
    <xf numFmtId="6" fontId="1" fillId="0" borderId="9" xfId="0" applyNumberFormat="1" applyFont="1" applyBorder="1"/>
    <xf numFmtId="8" fontId="1" fillId="5" borderId="11" xfId="0" applyNumberFormat="1" applyFont="1" applyFill="1" applyBorder="1"/>
    <xf numFmtId="0" fontId="1" fillId="5" borderId="12" xfId="0" applyFont="1" applyFill="1" applyBorder="1"/>
    <xf numFmtId="4" fontId="1" fillId="0" borderId="0" xfId="0" applyNumberFormat="1" applyFont="1"/>
    <xf numFmtId="165" fontId="1" fillId="8" borderId="7" xfId="0" applyNumberFormat="1" applyFont="1" applyFill="1" applyBorder="1"/>
    <xf numFmtId="2" fontId="1" fillId="8" borderId="8" xfId="0" applyNumberFormat="1" applyFont="1" applyFill="1" applyBorder="1"/>
    <xf numFmtId="2" fontId="4" fillId="8" borderId="8" xfId="0" applyNumberFormat="1" applyFont="1" applyFill="1" applyBorder="1"/>
    <xf numFmtId="0" fontId="1" fillId="8" borderId="11" xfId="0" applyFont="1" applyFill="1" applyBorder="1"/>
    <xf numFmtId="2" fontId="1" fillId="8" borderId="12" xfId="0" applyNumberFormat="1" applyFont="1" applyFill="1" applyBorder="1"/>
    <xf numFmtId="14" fontId="1" fillId="8" borderId="11" xfId="0" applyNumberFormat="1" applyFont="1" applyFill="1" applyBorder="1"/>
    <xf numFmtId="0" fontId="4" fillId="8" borderId="11" xfId="0" applyFont="1" applyFill="1" applyBorder="1"/>
    <xf numFmtId="2" fontId="4" fillId="8" borderId="12" xfId="0" applyNumberFormat="1" applyFont="1" applyFill="1" applyBorder="1"/>
    <xf numFmtId="0" fontId="1" fillId="0" borderId="18" xfId="0" applyFont="1" applyBorder="1"/>
    <xf numFmtId="164" fontId="1" fillId="9" borderId="17" xfId="0" applyNumberFormat="1" applyFont="1" applyFill="1" applyBorder="1"/>
    <xf numFmtId="0" fontId="1" fillId="8" borderId="12" xfId="0" applyFont="1" applyFill="1" applyBorder="1"/>
    <xf numFmtId="0" fontId="1" fillId="8" borderId="2" xfId="0" applyFont="1" applyFill="1" applyBorder="1"/>
    <xf numFmtId="6" fontId="1" fillId="8" borderId="11" xfId="0" applyNumberFormat="1" applyFont="1" applyFill="1" applyBorder="1"/>
    <xf numFmtId="8" fontId="1" fillId="8" borderId="11" xfId="0" applyNumberFormat="1" applyFont="1" applyFill="1" applyBorder="1"/>
    <xf numFmtId="6" fontId="1" fillId="8" borderId="12" xfId="0" applyNumberFormat="1" applyFont="1" applyFill="1" applyBorder="1"/>
    <xf numFmtId="8" fontId="1" fillId="8" borderId="12" xfId="0" applyNumberFormat="1" applyFont="1" applyFill="1" applyBorder="1"/>
    <xf numFmtId="164" fontId="1" fillId="8" borderId="19" xfId="0" applyNumberFormat="1" applyFont="1" applyFill="1" applyBorder="1"/>
    <xf numFmtId="164" fontId="1" fillId="8" borderId="17" xfId="0" applyNumberFormat="1" applyFont="1" applyFill="1" applyBorder="1"/>
    <xf numFmtId="166" fontId="1" fillId="8" borderId="2" xfId="0" applyNumberFormat="1" applyFont="1" applyFill="1" applyBorder="1"/>
    <xf numFmtId="8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2" fontId="1" fillId="8" borderId="2" xfId="0" applyNumberFormat="1" applyFont="1" applyFill="1" applyBorder="1"/>
    <xf numFmtId="14" fontId="1" fillId="8" borderId="2" xfId="0" applyNumberFormat="1" applyFont="1" applyFill="1" applyBorder="1"/>
    <xf numFmtId="0" fontId="5" fillId="0" borderId="0" xfId="0" applyFont="1" applyAlignment="1">
      <alignment vertical="top" wrapText="1"/>
    </xf>
    <xf numFmtId="0" fontId="6" fillId="0" borderId="0" xfId="0" applyFont="1" applyAlignment="1">
      <alignment textRotation="45"/>
    </xf>
    <xf numFmtId="0" fontId="6" fillId="0" borderId="0" xfId="0" applyFont="1" applyAlignment="1">
      <alignment vertical="top" wrapText="1"/>
    </xf>
    <xf numFmtId="0" fontId="6" fillId="0" borderId="28" xfId="0" applyFont="1" applyBorder="1" applyAlignment="1">
      <alignment horizontal="right"/>
    </xf>
    <xf numFmtId="0" fontId="7" fillId="0" borderId="30" xfId="0" applyFont="1" applyBorder="1"/>
    <xf numFmtId="0" fontId="2" fillId="10" borderId="30" xfId="0" applyFont="1" applyFill="1" applyBorder="1"/>
    <xf numFmtId="0" fontId="2" fillId="11" borderId="30" xfId="0" applyFont="1" applyFill="1" applyBorder="1"/>
    <xf numFmtId="0" fontId="2" fillId="12" borderId="30" xfId="0" applyFont="1" applyFill="1" applyBorder="1"/>
    <xf numFmtId="0" fontId="2" fillId="13" borderId="30" xfId="0" applyFont="1" applyFill="1" applyBorder="1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/>
    <xf numFmtId="0" fontId="6" fillId="0" borderId="27" xfId="0" applyFont="1" applyBorder="1"/>
    <xf numFmtId="164" fontId="6" fillId="0" borderId="30" xfId="0" applyNumberFormat="1" applyFont="1" applyBorder="1" applyAlignment="1">
      <alignment horizontal="left" textRotation="45" wrapText="1"/>
    </xf>
    <xf numFmtId="0" fontId="6" fillId="0" borderId="30" xfId="0" applyFont="1" applyBorder="1" applyAlignment="1">
      <alignment horizontal="left" textRotation="45" wrapText="1"/>
    </xf>
    <xf numFmtId="0" fontId="6" fillId="0" borderId="30" xfId="0" applyFont="1" applyBorder="1" applyAlignment="1">
      <alignment horizontal="right" wrapText="1"/>
    </xf>
    <xf numFmtId="0" fontId="6" fillId="0" borderId="30" xfId="0" applyFont="1" applyBorder="1" applyAlignment="1">
      <alignment textRotation="45"/>
    </xf>
    <xf numFmtId="0" fontId="6" fillId="0" borderId="28" xfId="0" applyFont="1" applyBorder="1" applyAlignment="1">
      <alignment textRotation="45"/>
    </xf>
    <xf numFmtId="0" fontId="6" fillId="0" borderId="30" xfId="0" applyFont="1" applyBorder="1"/>
    <xf numFmtId="164" fontId="2" fillId="0" borderId="30" xfId="0" applyNumberFormat="1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9" xfId="0" applyFont="1" applyBorder="1" applyAlignment="1">
      <alignment horizontal="right" wrapText="1"/>
    </xf>
    <xf numFmtId="0" fontId="6" fillId="0" borderId="33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164" fontId="2" fillId="0" borderId="30" xfId="0" applyNumberFormat="1" applyFont="1" applyBorder="1"/>
    <xf numFmtId="0" fontId="6" fillId="14" borderId="33" xfId="0" applyFont="1" applyFill="1" applyBorder="1"/>
    <xf numFmtId="164" fontId="2" fillId="14" borderId="35" xfId="0" applyNumberFormat="1" applyFont="1" applyFill="1" applyBorder="1" applyAlignment="1">
      <alignment horizontal="left"/>
    </xf>
    <xf numFmtId="0" fontId="2" fillId="14" borderId="35" xfId="0" applyFont="1" applyFill="1" applyBorder="1" applyAlignment="1">
      <alignment horizontal="left"/>
    </xf>
    <xf numFmtId="0" fontId="2" fillId="14" borderId="0" xfId="0" applyFont="1" applyFill="1" applyAlignment="1">
      <alignment horizontal="right"/>
    </xf>
    <xf numFmtId="0" fontId="6" fillId="14" borderId="35" xfId="0" applyFont="1" applyFill="1" applyBorder="1" applyAlignment="1">
      <alignment horizontal="right"/>
    </xf>
    <xf numFmtId="0" fontId="2" fillId="14" borderId="35" xfId="0" applyFont="1" applyFill="1" applyBorder="1"/>
    <xf numFmtId="0" fontId="2" fillId="14" borderId="34" xfId="0" applyFont="1" applyFill="1" applyBorder="1"/>
    <xf numFmtId="0" fontId="2" fillId="14" borderId="40" xfId="0" applyFont="1" applyFill="1" applyBorder="1"/>
    <xf numFmtId="0" fontId="2" fillId="14" borderId="28" xfId="0" applyFont="1" applyFill="1" applyBorder="1"/>
    <xf numFmtId="164" fontId="2" fillId="0" borderId="35" xfId="0" applyNumberFormat="1" applyFont="1" applyBorder="1" applyAlignment="1">
      <alignment horizontal="right"/>
    </xf>
    <xf numFmtId="0" fontId="2" fillId="14" borderId="41" xfId="0" applyFont="1" applyFill="1" applyBorder="1"/>
    <xf numFmtId="0" fontId="2" fillId="14" borderId="37" xfId="0" applyFont="1" applyFill="1" applyBorder="1"/>
    <xf numFmtId="0" fontId="6" fillId="14" borderId="0" xfId="0" applyFont="1" applyFill="1"/>
    <xf numFmtId="164" fontId="2" fillId="14" borderId="0" xfId="0" applyNumberFormat="1" applyFont="1" applyFill="1" applyAlignment="1">
      <alignment horizontal="left"/>
    </xf>
    <xf numFmtId="0" fontId="2" fillId="14" borderId="0" xfId="0" applyFont="1" applyFill="1" applyAlignment="1">
      <alignment horizontal="left"/>
    </xf>
    <xf numFmtId="0" fontId="6" fillId="14" borderId="0" xfId="0" applyFont="1" applyFill="1" applyAlignment="1">
      <alignment horizontal="right"/>
    </xf>
    <xf numFmtId="0" fontId="2" fillId="14" borderId="0" xfId="0" applyFont="1" applyFill="1"/>
    <xf numFmtId="0" fontId="9" fillId="0" borderId="0" xfId="0" applyFo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/>
    <xf numFmtId="0" fontId="0" fillId="0" borderId="0" xfId="0"/>
    <xf numFmtId="0" fontId="7" fillId="0" borderId="33" xfId="0" applyFont="1" applyBorder="1"/>
    <xf numFmtId="0" fontId="8" fillId="0" borderId="34" xfId="0" applyFont="1" applyBorder="1"/>
    <xf numFmtId="0" fontId="0" fillId="0" borderId="0" xfId="0" applyAlignment="1">
      <alignment vertical="top" wrapText="1"/>
    </xf>
    <xf numFmtId="0" fontId="6" fillId="0" borderId="35" xfId="0" applyFont="1" applyBorder="1" applyAlignment="1">
      <alignment horizontal="right"/>
    </xf>
    <xf numFmtId="0" fontId="8" fillId="0" borderId="35" xfId="0" applyFont="1" applyBorder="1"/>
    <xf numFmtId="0" fontId="7" fillId="0" borderId="27" xfId="0" applyFont="1" applyBorder="1" applyAlignment="1">
      <alignment vertical="top" wrapText="1"/>
    </xf>
    <xf numFmtId="0" fontId="8" fillId="0" borderId="28" xfId="0" applyFont="1" applyBorder="1"/>
    <xf numFmtId="0" fontId="8" fillId="0" borderId="29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36" xfId="0" applyFont="1" applyBorder="1"/>
    <xf numFmtId="0" fontId="8" fillId="0" borderId="37" xfId="0" applyFont="1" applyBorder="1"/>
    <xf numFmtId="0" fontId="8" fillId="0" borderId="38" xfId="0" applyFont="1" applyBorder="1"/>
    <xf numFmtId="0" fontId="7" fillId="0" borderId="28" xfId="0" applyFont="1" applyBorder="1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133475" cy="8096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baseColWidth="10" defaultColWidth="14.5" defaultRowHeight="15" customHeight="1" x14ac:dyDescent="0.2"/>
  <cols>
    <col min="1" max="1" width="5" customWidth="1"/>
    <col min="2" max="2" width="17.5" customWidth="1"/>
    <col min="3" max="3" width="9.6640625" customWidth="1"/>
    <col min="4" max="4" width="10.83203125" customWidth="1"/>
    <col min="5" max="5" width="11" customWidth="1"/>
    <col min="6" max="6" width="9.1640625" customWidth="1"/>
    <col min="7" max="7" width="11" customWidth="1"/>
    <col min="8" max="8" width="9.33203125" customWidth="1"/>
    <col min="9" max="9" width="11" customWidth="1"/>
    <col min="10" max="10" width="10" customWidth="1"/>
    <col min="11" max="11" width="10.83203125" customWidth="1"/>
    <col min="12" max="12" width="10.33203125" customWidth="1"/>
    <col min="13" max="13" width="10.83203125" customWidth="1"/>
    <col min="14" max="14" width="8.6640625" customWidth="1"/>
    <col min="15" max="15" width="10.83203125" customWidth="1"/>
    <col min="16" max="16" width="10.1640625" customWidth="1"/>
    <col min="17" max="17" width="11.6640625" customWidth="1"/>
    <col min="18" max="18" width="8.6640625" customWidth="1"/>
    <col min="19" max="19" width="11.33203125" customWidth="1"/>
    <col min="20" max="20" width="12" customWidth="1"/>
    <col min="21" max="21" width="11.6640625" customWidth="1"/>
    <col min="22" max="22" width="8.6640625" customWidth="1"/>
    <col min="23" max="23" width="11" customWidth="1"/>
    <col min="24" max="24" width="8.6640625" customWidth="1"/>
    <col min="25" max="25" width="11.5" customWidth="1"/>
    <col min="26" max="26" width="8.6640625" customWidth="1"/>
    <col min="27" max="27" width="11.33203125" customWidth="1"/>
    <col min="28" max="28" width="10.5" customWidth="1"/>
    <col min="29" max="29" width="11.1640625" customWidth="1"/>
    <col min="30" max="30" width="8.6640625" customWidth="1"/>
  </cols>
  <sheetData>
    <row r="1" spans="2:30" x14ac:dyDescent="0.2">
      <c r="C1" s="6"/>
      <c r="F1" s="3"/>
      <c r="H1" s="3"/>
      <c r="J1" s="3"/>
      <c r="L1" s="3"/>
    </row>
    <row r="2" spans="2:30" x14ac:dyDescent="0.2">
      <c r="B2" s="7" t="s">
        <v>0</v>
      </c>
      <c r="C2" s="8"/>
      <c r="F2" s="3"/>
      <c r="H2" s="3"/>
      <c r="J2" s="3"/>
      <c r="L2" s="3"/>
      <c r="M2" s="4" t="s">
        <v>18</v>
      </c>
    </row>
    <row r="3" spans="2:30" x14ac:dyDescent="0.2">
      <c r="C3" s="6"/>
      <c r="F3" s="3"/>
      <c r="H3" s="3"/>
      <c r="J3" s="3"/>
      <c r="L3" s="3"/>
    </row>
    <row r="4" spans="2:30" x14ac:dyDescent="0.2">
      <c r="B4" s="4" t="s">
        <v>19</v>
      </c>
      <c r="C4" s="6"/>
      <c r="F4" s="3"/>
      <c r="H4" s="3"/>
      <c r="J4" s="3"/>
      <c r="L4" s="3"/>
      <c r="M4" s="9" t="s">
        <v>20</v>
      </c>
      <c r="N4" s="3"/>
      <c r="Q4" s="9" t="s">
        <v>21</v>
      </c>
      <c r="R4" s="9" t="s">
        <v>22</v>
      </c>
      <c r="T4" s="10" t="s">
        <v>23</v>
      </c>
    </row>
    <row r="5" spans="2:30" x14ac:dyDescent="0.2">
      <c r="C5" s="6"/>
      <c r="F5" s="3"/>
      <c r="H5" s="3"/>
      <c r="J5" s="3"/>
      <c r="K5" s="11"/>
      <c r="L5" s="3"/>
      <c r="N5" s="3"/>
      <c r="R5" s="4" t="s">
        <v>24</v>
      </c>
      <c r="T5" s="10" t="s">
        <v>25</v>
      </c>
    </row>
    <row r="6" spans="2:30" x14ac:dyDescent="0.2">
      <c r="C6" s="12" t="s">
        <v>1</v>
      </c>
      <c r="D6" s="13" t="s">
        <v>2</v>
      </c>
      <c r="E6" s="14">
        <v>43101</v>
      </c>
      <c r="F6" s="15"/>
      <c r="G6" s="14">
        <v>43132</v>
      </c>
      <c r="H6" s="15"/>
      <c r="I6" s="14">
        <v>43160</v>
      </c>
      <c r="J6" s="15"/>
      <c r="K6" s="14">
        <v>43191</v>
      </c>
      <c r="L6" s="15"/>
      <c r="M6" s="14">
        <v>43244</v>
      </c>
      <c r="N6" s="15"/>
      <c r="O6" s="14">
        <v>43252</v>
      </c>
      <c r="P6" s="15"/>
      <c r="Q6" s="14">
        <v>43282</v>
      </c>
      <c r="R6" s="15"/>
      <c r="S6" s="14">
        <v>43313</v>
      </c>
      <c r="T6" s="15"/>
      <c r="U6" s="14">
        <v>43344</v>
      </c>
      <c r="V6" s="15"/>
      <c r="W6" s="14">
        <v>43374</v>
      </c>
      <c r="X6" s="15"/>
      <c r="Y6" s="14">
        <v>43405</v>
      </c>
      <c r="Z6" s="15"/>
      <c r="AA6" s="16">
        <v>43435</v>
      </c>
      <c r="AB6" s="17"/>
      <c r="AC6" s="4" t="s">
        <v>3</v>
      </c>
      <c r="AD6" s="4" t="s">
        <v>26</v>
      </c>
    </row>
    <row r="7" spans="2:30" x14ac:dyDescent="0.2">
      <c r="C7" s="18"/>
      <c r="D7" s="19"/>
      <c r="E7" s="20"/>
      <c r="F7" s="21"/>
      <c r="G7" s="20"/>
      <c r="H7" s="21"/>
      <c r="I7" s="22"/>
      <c r="J7" s="21"/>
      <c r="K7" s="20"/>
      <c r="L7" s="21"/>
      <c r="M7" s="20"/>
      <c r="N7" s="21"/>
      <c r="O7" s="20"/>
      <c r="P7" s="21"/>
      <c r="Q7" s="20"/>
      <c r="R7" s="21"/>
      <c r="S7" s="20"/>
      <c r="T7" s="21"/>
      <c r="U7" s="20"/>
      <c r="V7" s="21"/>
      <c r="W7" s="20"/>
      <c r="X7" s="21"/>
      <c r="Y7" s="20"/>
      <c r="Z7" s="21"/>
      <c r="AA7" s="23"/>
      <c r="AB7" s="24"/>
    </row>
    <row r="8" spans="2:30" x14ac:dyDescent="0.2">
      <c r="B8" s="25" t="s">
        <v>4</v>
      </c>
      <c r="C8" s="12">
        <v>0.8</v>
      </c>
      <c r="D8" s="13">
        <v>1700</v>
      </c>
      <c r="E8" s="26">
        <f>15400</f>
        <v>15400</v>
      </c>
      <c r="F8" s="27">
        <f>+E8/D8</f>
        <v>9.0588235294117645</v>
      </c>
      <c r="G8" s="26">
        <f>+E8+E9</f>
        <v>13044</v>
      </c>
      <c r="H8" s="27">
        <f>+G8/D8</f>
        <v>7.6729411764705882</v>
      </c>
      <c r="I8" s="26">
        <f>+G8+G9</f>
        <v>11292</v>
      </c>
      <c r="J8" s="27">
        <f>+I8/D8</f>
        <v>6.6423529411764708</v>
      </c>
      <c r="K8" s="26">
        <f>+I8+I9</f>
        <v>26232</v>
      </c>
      <c r="L8" s="27">
        <f>+K8/D8</f>
        <v>15.430588235294117</v>
      </c>
      <c r="M8" s="26">
        <f>+K8+K9</f>
        <v>25368</v>
      </c>
      <c r="N8" s="27">
        <f>+M8/D8</f>
        <v>14.92235294117647</v>
      </c>
      <c r="O8" s="26">
        <f>+M8+M9</f>
        <v>23568</v>
      </c>
      <c r="P8" s="27">
        <f>+O8/D8</f>
        <v>13.863529411764706</v>
      </c>
      <c r="Q8" s="26">
        <f>+O8+O9</f>
        <v>22512</v>
      </c>
      <c r="R8" s="27">
        <f>+Q8/D8</f>
        <v>13.24235294117647</v>
      </c>
      <c r="S8" s="26">
        <f>+Q8+Q9</f>
        <v>34844</v>
      </c>
      <c r="T8" s="27">
        <f>+S8/D8</f>
        <v>20.496470588235294</v>
      </c>
      <c r="U8" s="26">
        <f>+S8+S9</f>
        <v>34116</v>
      </c>
      <c r="V8" s="27">
        <f>+U8/D8</f>
        <v>20.068235294117645</v>
      </c>
      <c r="W8" s="26">
        <f>+U8+U9</f>
        <v>32548</v>
      </c>
      <c r="X8" s="27">
        <f>+W8/D8</f>
        <v>19.145882352941175</v>
      </c>
      <c r="Y8" s="26">
        <f>+W8+W9</f>
        <v>31712</v>
      </c>
      <c r="Z8" s="27">
        <f>+Y8/D8</f>
        <v>18.654117647058822</v>
      </c>
      <c r="AA8" s="26">
        <f>+Y8+Y9</f>
        <v>28368</v>
      </c>
      <c r="AB8" s="27">
        <f>+AA8/D8</f>
        <v>16.687058823529412</v>
      </c>
      <c r="AC8" s="4">
        <f>+D8*AB8</f>
        <v>28368</v>
      </c>
      <c r="AD8" s="4">
        <v>26956</v>
      </c>
    </row>
    <row r="9" spans="2:30" x14ac:dyDescent="0.2">
      <c r="B9" s="28" t="s">
        <v>27</v>
      </c>
      <c r="C9" s="18"/>
      <c r="D9" s="29">
        <f>+(4020+1752+2356+864+1800+1056+1588+728+1568+836)/10</f>
        <v>1656.8</v>
      </c>
      <c r="E9" s="30">
        <v>-2356</v>
      </c>
      <c r="F9" s="31"/>
      <c r="G9" s="30">
        <v>-1752</v>
      </c>
      <c r="H9" s="31"/>
      <c r="I9" s="30">
        <f>18960-4020</f>
        <v>14940</v>
      </c>
      <c r="J9" s="31"/>
      <c r="K9" s="30">
        <v>-864</v>
      </c>
      <c r="L9" s="31"/>
      <c r="M9" s="30">
        <v>-1800</v>
      </c>
      <c r="N9" s="31"/>
      <c r="O9" s="30">
        <v>-1056</v>
      </c>
      <c r="P9" s="31"/>
      <c r="Q9" s="30">
        <f>-1588+13920</f>
        <v>12332</v>
      </c>
      <c r="R9" s="31"/>
      <c r="S9" s="30">
        <v>-728</v>
      </c>
      <c r="T9" s="31"/>
      <c r="U9" s="30">
        <v>-1568</v>
      </c>
      <c r="V9" s="31"/>
      <c r="W9" s="30">
        <v>-836</v>
      </c>
      <c r="X9" s="31"/>
      <c r="Y9" s="30">
        <v>-3344</v>
      </c>
      <c r="Z9" s="31"/>
      <c r="AA9" s="23">
        <v>-1168</v>
      </c>
      <c r="AB9" s="31"/>
    </row>
    <row r="10" spans="2:30" x14ac:dyDescent="0.2">
      <c r="B10" s="28" t="s">
        <v>5</v>
      </c>
      <c r="C10" s="18">
        <v>0.57899999999999996</v>
      </c>
      <c r="D10" s="19">
        <v>850</v>
      </c>
      <c r="E10" s="30">
        <f>7960</f>
        <v>7960</v>
      </c>
      <c r="F10" s="32">
        <f>+E10/D10</f>
        <v>9.3647058823529417</v>
      </c>
      <c r="G10" s="30">
        <f>+E10+E11</f>
        <v>6932</v>
      </c>
      <c r="H10" s="32">
        <f>+G10/D10</f>
        <v>8.1552941176470597</v>
      </c>
      <c r="I10" s="30">
        <f>+G10+G11</f>
        <v>6156</v>
      </c>
      <c r="J10" s="32">
        <f>+I10/D10</f>
        <v>7.2423529411764704</v>
      </c>
      <c r="K10" s="30">
        <f>+I10+I11</f>
        <v>8096</v>
      </c>
      <c r="L10" s="32">
        <f>+K10/D10</f>
        <v>9.5247058823529418</v>
      </c>
      <c r="M10" s="30">
        <f>+K10+K11</f>
        <v>5664</v>
      </c>
      <c r="N10" s="32">
        <f>+M10/D10</f>
        <v>6.6635294117647055</v>
      </c>
      <c r="O10" s="30">
        <f>+M10+M11</f>
        <v>5464</v>
      </c>
      <c r="P10" s="32">
        <f>+O10/D10</f>
        <v>6.4282352941176475</v>
      </c>
      <c r="Q10" s="30">
        <f>+O10+O11</f>
        <v>5038</v>
      </c>
      <c r="R10" s="32">
        <f>+Q10/D10</f>
        <v>5.9270588235294115</v>
      </c>
      <c r="S10" s="30">
        <f>+Q10+Q11</f>
        <v>14376</v>
      </c>
      <c r="T10" s="32">
        <f>+S10/D10</f>
        <v>16.912941176470589</v>
      </c>
      <c r="U10" s="30">
        <f>+S10+S11</f>
        <v>14152</v>
      </c>
      <c r="V10" s="32">
        <f>+U10/D10</f>
        <v>16.649411764705881</v>
      </c>
      <c r="W10" s="30">
        <f>+U10+U11</f>
        <v>13544</v>
      </c>
      <c r="X10" s="32">
        <f>+W10/D10</f>
        <v>15.934117647058823</v>
      </c>
      <c r="Y10" s="30">
        <f>+W10+W11</f>
        <v>13130</v>
      </c>
      <c r="Z10" s="32">
        <f>+Y10/D10</f>
        <v>15.447058823529412</v>
      </c>
      <c r="AA10" s="30">
        <f>+Y10+Y11</f>
        <v>12598</v>
      </c>
      <c r="AB10" s="32">
        <f>+AA10/D10</f>
        <v>14.821176470588235</v>
      </c>
      <c r="AC10" s="4">
        <f>+D10*AB10</f>
        <v>12598</v>
      </c>
      <c r="AD10" s="4">
        <v>13488</v>
      </c>
    </row>
    <row r="11" spans="2:30" x14ac:dyDescent="0.2">
      <c r="B11" s="28" t="s">
        <v>27</v>
      </c>
      <c r="C11" s="18"/>
      <c r="D11" s="29">
        <f>+(1660+776+1028+2432+200+426+742+224+608+414)/10</f>
        <v>851</v>
      </c>
      <c r="E11" s="30">
        <v>-1028</v>
      </c>
      <c r="F11" s="31"/>
      <c r="G11" s="30">
        <v>-776</v>
      </c>
      <c r="H11" s="31"/>
      <c r="I11" s="30">
        <f>3600-1660</f>
        <v>1940</v>
      </c>
      <c r="J11" s="31"/>
      <c r="K11" s="30">
        <v>-2432</v>
      </c>
      <c r="L11" s="31"/>
      <c r="M11" s="30">
        <v>-200</v>
      </c>
      <c r="N11" s="31"/>
      <c r="O11" s="30">
        <v>-426</v>
      </c>
      <c r="P11" s="31"/>
      <c r="Q11" s="30">
        <f>-742+10080</f>
        <v>9338</v>
      </c>
      <c r="R11" s="31"/>
      <c r="S11" s="30">
        <v>-224</v>
      </c>
      <c r="T11" s="31"/>
      <c r="U11" s="30">
        <v>-608</v>
      </c>
      <c r="V11" s="31"/>
      <c r="W11" s="30">
        <v>-414</v>
      </c>
      <c r="X11" s="31"/>
      <c r="Y11" s="30">
        <v>-532</v>
      </c>
      <c r="Z11" s="31"/>
      <c r="AA11" s="23">
        <v>-584</v>
      </c>
      <c r="AB11" s="31"/>
    </row>
    <row r="12" spans="2:30" x14ac:dyDescent="0.2">
      <c r="B12" s="28" t="s">
        <v>6</v>
      </c>
      <c r="C12" s="18">
        <v>0.46700000000000003</v>
      </c>
      <c r="D12" s="19">
        <v>200</v>
      </c>
      <c r="E12" s="30">
        <f>3600</f>
        <v>3600</v>
      </c>
      <c r="F12" s="32">
        <f>+E12/D12</f>
        <v>18</v>
      </c>
      <c r="G12" s="30">
        <f>+E12+E13</f>
        <v>3391</v>
      </c>
      <c r="H12" s="32">
        <f>+G12/D12</f>
        <v>16.954999999999998</v>
      </c>
      <c r="I12" s="30">
        <f>+G12+G13</f>
        <v>3219</v>
      </c>
      <c r="J12" s="32">
        <f>+I12/D12</f>
        <v>16.094999999999999</v>
      </c>
      <c r="K12" s="30">
        <f>+I12+I13</f>
        <v>2799</v>
      </c>
      <c r="L12" s="32">
        <f>+K12/D12</f>
        <v>13.994999999999999</v>
      </c>
      <c r="M12" s="30">
        <f>+K12+K13</f>
        <v>2695</v>
      </c>
      <c r="N12" s="32">
        <f>+M12/D12</f>
        <v>13.475</v>
      </c>
      <c r="O12" s="30">
        <f>+M12+M13</f>
        <v>2445</v>
      </c>
      <c r="P12" s="32">
        <f>+O12/D12</f>
        <v>12.225</v>
      </c>
      <c r="Q12" s="30">
        <f>+O12+O13</f>
        <v>2239</v>
      </c>
      <c r="R12" s="32">
        <f>+Q12/D12</f>
        <v>11.195</v>
      </c>
      <c r="S12" s="30">
        <f>+Q12+Q13</f>
        <v>1932</v>
      </c>
      <c r="T12" s="32">
        <f>+S12/D12</f>
        <v>9.66</v>
      </c>
      <c r="U12" s="30">
        <f>+S12+S13</f>
        <v>1932</v>
      </c>
      <c r="V12" s="32">
        <f>+U12/D12</f>
        <v>9.66</v>
      </c>
      <c r="W12" s="30">
        <f>+U12+U13</f>
        <v>1786</v>
      </c>
      <c r="X12" s="32">
        <f>+W12/D12</f>
        <v>8.93</v>
      </c>
      <c r="Y12" s="30">
        <f>+W12+W13</f>
        <v>1534</v>
      </c>
      <c r="Z12" s="32">
        <f>+Y12/D12</f>
        <v>7.67</v>
      </c>
      <c r="AA12" s="30">
        <f>+Y12+Y13</f>
        <v>1360</v>
      </c>
      <c r="AB12" s="32">
        <f>+AA12/D12</f>
        <v>6.8</v>
      </c>
      <c r="AC12" s="4">
        <f>+D12*AB12</f>
        <v>1360</v>
      </c>
      <c r="AD12" s="4">
        <v>1608</v>
      </c>
    </row>
    <row r="13" spans="2:30" x14ac:dyDescent="0.2">
      <c r="B13" s="33" t="s">
        <v>27</v>
      </c>
      <c r="C13" s="34"/>
      <c r="D13" s="35">
        <f>+(209+172+420+104+250+206+307+0+146+252)/10</f>
        <v>206.6</v>
      </c>
      <c r="E13" s="36">
        <v>-209</v>
      </c>
      <c r="F13" s="37"/>
      <c r="G13" s="36">
        <v>-172</v>
      </c>
      <c r="H13" s="38"/>
      <c r="I13" s="36">
        <v>-420</v>
      </c>
      <c r="J13" s="37"/>
      <c r="K13" s="36">
        <v>-104</v>
      </c>
      <c r="L13" s="37"/>
      <c r="M13" s="36">
        <v>-250</v>
      </c>
      <c r="N13" s="37"/>
      <c r="O13" s="36">
        <v>-206</v>
      </c>
      <c r="P13" s="37"/>
      <c r="Q13" s="36">
        <v>-307</v>
      </c>
      <c r="R13" s="37"/>
      <c r="S13" s="36">
        <v>0</v>
      </c>
      <c r="T13" s="37"/>
      <c r="U13" s="36">
        <v>-146</v>
      </c>
      <c r="V13" s="37"/>
      <c r="W13" s="36">
        <v>-252</v>
      </c>
      <c r="X13" s="37"/>
      <c r="Y13" s="36">
        <v>-174</v>
      </c>
      <c r="Z13" s="37"/>
      <c r="AA13" s="39">
        <v>-148</v>
      </c>
      <c r="AB13" s="37"/>
    </row>
    <row r="14" spans="2:30" x14ac:dyDescent="0.2">
      <c r="C14" s="18"/>
      <c r="D14" s="19"/>
      <c r="E14" s="30"/>
      <c r="F14" s="32"/>
      <c r="G14" s="30"/>
      <c r="H14" s="32"/>
      <c r="I14" s="30"/>
      <c r="J14" s="32"/>
      <c r="K14" s="30"/>
      <c r="L14" s="32"/>
      <c r="M14" s="30"/>
      <c r="N14" s="32"/>
      <c r="O14" s="30"/>
      <c r="P14" s="32"/>
      <c r="Q14" s="30"/>
      <c r="R14" s="32"/>
      <c r="S14" s="30"/>
      <c r="T14" s="32"/>
      <c r="U14" s="30"/>
      <c r="V14" s="32"/>
      <c r="W14" s="30"/>
      <c r="X14" s="32"/>
      <c r="Y14" s="30"/>
      <c r="Z14" s="32"/>
      <c r="AA14" s="30"/>
      <c r="AB14" s="32"/>
    </row>
    <row r="15" spans="2:30" x14ac:dyDescent="0.2">
      <c r="B15" s="40" t="s">
        <v>7</v>
      </c>
      <c r="C15" s="12">
        <v>0.71</v>
      </c>
      <c r="D15" s="13">
        <v>400</v>
      </c>
      <c r="E15" s="26">
        <f>4800</f>
        <v>4800</v>
      </c>
      <c r="F15" s="27">
        <f>+E15/D15</f>
        <v>12</v>
      </c>
      <c r="G15" s="26">
        <f>+E15+E16</f>
        <v>4300</v>
      </c>
      <c r="H15" s="27">
        <f>+G15/D15</f>
        <v>10.75</v>
      </c>
      <c r="I15" s="41">
        <f>+G15+G16</f>
        <v>4300</v>
      </c>
      <c r="J15" s="27">
        <f>+I15/D15</f>
        <v>10.75</v>
      </c>
      <c r="K15" s="41">
        <f>+I15+I16</f>
        <v>4520</v>
      </c>
      <c r="L15" s="27">
        <f>+K15/D15</f>
        <v>11.3</v>
      </c>
      <c r="M15" s="41">
        <f>+K15+K16</f>
        <v>4520</v>
      </c>
      <c r="N15" s="27">
        <f>+M15/D15</f>
        <v>11.3</v>
      </c>
      <c r="O15" s="41">
        <f>+M15+M16</f>
        <v>3420</v>
      </c>
      <c r="P15" s="27">
        <f>+O15/D15</f>
        <v>8.5500000000000007</v>
      </c>
      <c r="Q15" s="41">
        <f>+O15+O16</f>
        <v>3420</v>
      </c>
      <c r="R15" s="27">
        <f>+Q15/D15</f>
        <v>8.5500000000000007</v>
      </c>
      <c r="S15" s="41">
        <f>+Q15+Q16</f>
        <v>3450</v>
      </c>
      <c r="T15" s="27">
        <f>+S15/D15</f>
        <v>8.625</v>
      </c>
      <c r="U15" s="41">
        <f>+S15+S16</f>
        <v>3450</v>
      </c>
      <c r="V15" s="27">
        <f>+U15/D15</f>
        <v>8.625</v>
      </c>
      <c r="W15" s="41">
        <f>+U15+U16</f>
        <v>2850</v>
      </c>
      <c r="X15" s="27">
        <f>+W15/D15</f>
        <v>7.125</v>
      </c>
      <c r="Y15" s="41">
        <f>+W15+W16</f>
        <v>2250</v>
      </c>
      <c r="Z15" s="27">
        <f>+Y15/D15</f>
        <v>5.625</v>
      </c>
      <c r="AA15" s="41">
        <f>+Y15+Y16</f>
        <v>2250</v>
      </c>
      <c r="AB15" s="27">
        <f>+AA15/D15</f>
        <v>5.625</v>
      </c>
      <c r="AC15" s="4">
        <f>+D15*AB15</f>
        <v>2250</v>
      </c>
      <c r="AD15" s="4">
        <v>2725</v>
      </c>
    </row>
    <row r="16" spans="2:30" x14ac:dyDescent="0.2">
      <c r="B16" s="42" t="s">
        <v>27</v>
      </c>
      <c r="C16" s="18"/>
      <c r="D16" s="29">
        <f>+(1000+1100+500+30+600+600)/10</f>
        <v>383</v>
      </c>
      <c r="E16" s="30">
        <v>-500</v>
      </c>
      <c r="F16" s="31"/>
      <c r="G16" s="30">
        <v>0</v>
      </c>
      <c r="H16" s="31"/>
      <c r="I16" s="30">
        <f>720-500</f>
        <v>220</v>
      </c>
      <c r="J16" s="31"/>
      <c r="K16" s="30">
        <v>0</v>
      </c>
      <c r="L16" s="31"/>
      <c r="M16" s="30">
        <v>-1100</v>
      </c>
      <c r="N16" s="31"/>
      <c r="O16" s="30">
        <v>0</v>
      </c>
      <c r="P16" s="31"/>
      <c r="Q16" s="30">
        <f>-500-750+1280</f>
        <v>30</v>
      </c>
      <c r="R16" s="31"/>
      <c r="S16" s="30">
        <v>0</v>
      </c>
      <c r="T16" s="31"/>
      <c r="U16" s="30">
        <v>-600</v>
      </c>
      <c r="V16" s="31"/>
      <c r="W16" s="30">
        <v>-600</v>
      </c>
      <c r="X16" s="31"/>
      <c r="Y16" s="30">
        <v>0</v>
      </c>
      <c r="Z16" s="31"/>
      <c r="AA16" s="23">
        <v>0</v>
      </c>
      <c r="AB16" s="43"/>
    </row>
    <row r="17" spans="2:30" x14ac:dyDescent="0.2">
      <c r="B17" s="42" t="s">
        <v>8</v>
      </c>
      <c r="C17" s="18">
        <v>0.57999999999999996</v>
      </c>
      <c r="D17" s="19">
        <v>200</v>
      </c>
      <c r="E17" s="30">
        <v>1800</v>
      </c>
      <c r="F17" s="32">
        <f>+E17/D17</f>
        <v>9</v>
      </c>
      <c r="G17" s="30">
        <f>+E17+E18</f>
        <v>1800</v>
      </c>
      <c r="H17" s="32">
        <f>+G17/D17</f>
        <v>9</v>
      </c>
      <c r="I17" s="30">
        <f>+G17+G18</f>
        <v>1600</v>
      </c>
      <c r="J17" s="32">
        <f>+I17/D17</f>
        <v>8</v>
      </c>
      <c r="K17" s="30">
        <f>+I17+I18</f>
        <v>1600</v>
      </c>
      <c r="L17" s="32">
        <f>+K17/D17</f>
        <v>8</v>
      </c>
      <c r="M17" s="30">
        <f>+K17+K18</f>
        <v>1600</v>
      </c>
      <c r="N17" s="32">
        <f>+M17/D17</f>
        <v>8</v>
      </c>
      <c r="O17" s="30">
        <f>+M17+M18</f>
        <v>1100</v>
      </c>
      <c r="P17" s="32">
        <f>+O17/D17</f>
        <v>5.5</v>
      </c>
      <c r="Q17" s="30">
        <f>+O17+O18</f>
        <v>1100</v>
      </c>
      <c r="R17" s="32">
        <f>+Q17/D17</f>
        <v>5.5</v>
      </c>
      <c r="S17" s="30">
        <f>+Q17+Q18</f>
        <v>500</v>
      </c>
      <c r="T17" s="32">
        <f>+S17/D17</f>
        <v>2.5</v>
      </c>
      <c r="U17" s="30">
        <f>+S17+S18</f>
        <v>500</v>
      </c>
      <c r="V17" s="32">
        <f>+U17/D17</f>
        <v>2.5</v>
      </c>
      <c r="W17" s="30">
        <f>+U17+U18</f>
        <v>100</v>
      </c>
      <c r="X17" s="32">
        <f>+W17/D17</f>
        <v>0.5</v>
      </c>
      <c r="Y17" s="30">
        <f>+W17+W18</f>
        <v>100</v>
      </c>
      <c r="Z17" s="32">
        <f>+Y17/D17</f>
        <v>0.5</v>
      </c>
      <c r="AA17" s="30">
        <f>+Y17+Y18</f>
        <v>100</v>
      </c>
      <c r="AB17" s="43">
        <f>+AA17/D17</f>
        <v>0.5</v>
      </c>
      <c r="AC17" s="4">
        <f>+D17*AB17</f>
        <v>100</v>
      </c>
      <c r="AD17" s="4">
        <v>96</v>
      </c>
    </row>
    <row r="18" spans="2:30" x14ac:dyDescent="0.2">
      <c r="B18" s="42" t="s">
        <v>27</v>
      </c>
      <c r="C18" s="18"/>
      <c r="D18" s="29">
        <f>(200+500+200+600+400+0)/10</f>
        <v>190</v>
      </c>
      <c r="E18" s="30">
        <v>0</v>
      </c>
      <c r="F18" s="31"/>
      <c r="G18" s="30">
        <v>-200</v>
      </c>
      <c r="H18" s="31"/>
      <c r="I18" s="30">
        <v>0</v>
      </c>
      <c r="J18" s="31"/>
      <c r="K18" s="30">
        <v>0</v>
      </c>
      <c r="L18" s="31"/>
      <c r="M18" s="30">
        <v>-500</v>
      </c>
      <c r="N18" s="31"/>
      <c r="O18" s="30">
        <v>0</v>
      </c>
      <c r="P18" s="31"/>
      <c r="Q18" s="30">
        <f>-200-400</f>
        <v>-600</v>
      </c>
      <c r="R18" s="31"/>
      <c r="S18" s="30">
        <v>0</v>
      </c>
      <c r="T18" s="31"/>
      <c r="U18" s="30">
        <v>-400</v>
      </c>
      <c r="V18" s="31"/>
      <c r="W18" s="30">
        <v>0</v>
      </c>
      <c r="X18" s="31"/>
      <c r="Y18" s="30">
        <v>0</v>
      </c>
      <c r="Z18" s="31"/>
      <c r="AA18" s="23">
        <v>0</v>
      </c>
      <c r="AB18" s="43"/>
    </row>
    <row r="19" spans="2:30" x14ac:dyDescent="0.2">
      <c r="B19" s="42" t="s">
        <v>9</v>
      </c>
      <c r="C19" s="18">
        <v>0.46</v>
      </c>
      <c r="D19" s="19">
        <v>100</v>
      </c>
      <c r="E19" s="30">
        <v>456</v>
      </c>
      <c r="F19" s="32">
        <f>+E19/D19</f>
        <v>4.5599999999999996</v>
      </c>
      <c r="G19" s="30">
        <f>+E19+E20</f>
        <v>456</v>
      </c>
      <c r="H19" s="32">
        <f>+G19/D19</f>
        <v>4.5599999999999996</v>
      </c>
      <c r="I19" s="30">
        <f>+G19+G20</f>
        <v>456</v>
      </c>
      <c r="J19" s="32">
        <f>+I19/D19</f>
        <v>4.5599999999999996</v>
      </c>
      <c r="K19" s="30">
        <f>+I19+I20</f>
        <v>456</v>
      </c>
      <c r="L19" s="32">
        <f>+K19/D19</f>
        <v>4.5599999999999996</v>
      </c>
      <c r="M19" s="30">
        <f>+K19+K20</f>
        <v>456</v>
      </c>
      <c r="N19" s="32">
        <f>+M19/D19</f>
        <v>4.5599999999999996</v>
      </c>
      <c r="O19" s="30">
        <f>+M19+M20</f>
        <v>456</v>
      </c>
      <c r="P19" s="32">
        <f>+O19/D19</f>
        <v>4.5599999999999996</v>
      </c>
      <c r="Q19" s="30">
        <f>+O19+O20</f>
        <v>256</v>
      </c>
      <c r="R19" s="32">
        <f>+Q19/D19</f>
        <v>2.56</v>
      </c>
      <c r="S19" s="30">
        <f>+Q19+Q20</f>
        <v>256</v>
      </c>
      <c r="T19" s="32">
        <f>+S19/D19</f>
        <v>2.56</v>
      </c>
      <c r="U19" s="30">
        <f>+S19+S20</f>
        <v>256</v>
      </c>
      <c r="V19" s="32">
        <f>+U19/D19</f>
        <v>2.56</v>
      </c>
      <c r="W19" s="30">
        <f>+U19+U20</f>
        <v>56</v>
      </c>
      <c r="X19" s="32">
        <f>+W19/D19</f>
        <v>0.56000000000000005</v>
      </c>
      <c r="Y19" s="30">
        <f>+W19+W20</f>
        <v>-144</v>
      </c>
      <c r="Z19" s="32">
        <f>+Y19/D19</f>
        <v>-1.44</v>
      </c>
      <c r="AA19" s="30">
        <f>+Y19+Y20</f>
        <v>-144</v>
      </c>
      <c r="AB19" s="32">
        <f>+AA19/D19</f>
        <v>-1.44</v>
      </c>
      <c r="AC19" s="4">
        <f>+D19*AB19</f>
        <v>-144</v>
      </c>
      <c r="AD19" s="4">
        <v>840</v>
      </c>
    </row>
    <row r="20" spans="2:30" x14ac:dyDescent="0.2">
      <c r="B20" s="44" t="s">
        <v>27</v>
      </c>
      <c r="C20" s="34"/>
      <c r="D20" s="35">
        <f>(200+200+200)/10</f>
        <v>60</v>
      </c>
      <c r="E20" s="36">
        <v>0</v>
      </c>
      <c r="F20" s="37"/>
      <c r="G20" s="36">
        <v>0</v>
      </c>
      <c r="H20" s="37"/>
      <c r="I20" s="36">
        <v>0</v>
      </c>
      <c r="J20" s="37"/>
      <c r="K20" s="36">
        <v>0</v>
      </c>
      <c r="L20" s="37"/>
      <c r="M20" s="36">
        <v>0</v>
      </c>
      <c r="N20" s="37"/>
      <c r="O20" s="36">
        <v>-200</v>
      </c>
      <c r="P20" s="37"/>
      <c r="Q20" s="36">
        <v>0</v>
      </c>
      <c r="R20" s="37"/>
      <c r="S20" s="36">
        <v>0</v>
      </c>
      <c r="T20" s="37"/>
      <c r="U20" s="36">
        <v>-200</v>
      </c>
      <c r="V20" s="37"/>
      <c r="W20" s="36">
        <v>-200</v>
      </c>
      <c r="X20" s="37"/>
      <c r="Y20" s="36">
        <v>0</v>
      </c>
      <c r="Z20" s="37"/>
      <c r="AA20" s="39">
        <v>0</v>
      </c>
      <c r="AB20" s="37"/>
    </row>
    <row r="21" spans="2:30" ht="15.75" customHeight="1" x14ac:dyDescent="0.2">
      <c r="C21" s="18"/>
      <c r="D21" s="19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30"/>
      <c r="P21" s="32"/>
      <c r="Q21" s="30"/>
      <c r="R21" s="32"/>
      <c r="S21" s="30"/>
      <c r="T21" s="32"/>
      <c r="U21" s="30"/>
      <c r="V21" s="32"/>
      <c r="W21" s="30"/>
      <c r="X21" s="32"/>
      <c r="Y21" s="30"/>
      <c r="Z21" s="32"/>
      <c r="AA21" s="30"/>
      <c r="AB21" s="32"/>
    </row>
    <row r="22" spans="2:30" ht="15.75" customHeight="1" x14ac:dyDescent="0.2">
      <c r="B22" s="25" t="s">
        <v>10</v>
      </c>
      <c r="C22" s="12">
        <v>0.625</v>
      </c>
      <c r="D22" s="13">
        <v>209</v>
      </c>
      <c r="E22" s="26">
        <v>3840</v>
      </c>
      <c r="F22" s="27">
        <f>+E22/D22</f>
        <v>18.373205741626794</v>
      </c>
      <c r="G22" s="26">
        <f>+E22+E23</f>
        <v>3840</v>
      </c>
      <c r="H22" s="27">
        <f>+G22/D22</f>
        <v>18.373205741626794</v>
      </c>
      <c r="I22" s="26">
        <f>+G22+G23</f>
        <v>3340</v>
      </c>
      <c r="J22" s="27">
        <f>+I22/D22</f>
        <v>15.980861244019138</v>
      </c>
      <c r="K22" s="26">
        <f>+I22+I23</f>
        <v>3340</v>
      </c>
      <c r="L22" s="27">
        <f>+K22/D22</f>
        <v>15.980861244019138</v>
      </c>
      <c r="M22" s="26">
        <f>+K22+K23</f>
        <v>3340</v>
      </c>
      <c r="N22" s="27">
        <f>+M22/D22</f>
        <v>15.980861244019138</v>
      </c>
      <c r="O22" s="26">
        <f>+M22+M23</f>
        <v>2840</v>
      </c>
      <c r="P22" s="27">
        <f>+O22/D22</f>
        <v>13.588516746411484</v>
      </c>
      <c r="Q22" s="26">
        <f>+O22+O23</f>
        <v>2340</v>
      </c>
      <c r="R22" s="27">
        <f>+Q22/D22</f>
        <v>11.196172248803828</v>
      </c>
      <c r="S22" s="26">
        <f>+Q22+Q23</f>
        <v>2340</v>
      </c>
      <c r="T22" s="27">
        <f>+S22/D22</f>
        <v>11.196172248803828</v>
      </c>
      <c r="U22" s="26">
        <f>+S22+S23</f>
        <v>2340</v>
      </c>
      <c r="V22" s="27">
        <f>+U22/D22</f>
        <v>11.196172248803828</v>
      </c>
      <c r="W22" s="26">
        <f>+U22+U23</f>
        <v>1840</v>
      </c>
      <c r="X22" s="27">
        <f>+W22/D22</f>
        <v>8.803827751196172</v>
      </c>
      <c r="Y22" s="26">
        <f>+W22+W23</f>
        <v>1840</v>
      </c>
      <c r="Z22" s="27">
        <f>+Y22/D22</f>
        <v>8.803827751196172</v>
      </c>
      <c r="AA22" s="26">
        <f>+Y22+Y23</f>
        <v>1840</v>
      </c>
      <c r="AB22" s="27">
        <f>+AA22/D22</f>
        <v>8.803827751196172</v>
      </c>
      <c r="AC22" s="4">
        <f>+D22*AB22</f>
        <v>1840</v>
      </c>
    </row>
    <row r="23" spans="2:30" ht="15.75" customHeight="1" x14ac:dyDescent="0.2">
      <c r="B23" s="28" t="s">
        <v>27</v>
      </c>
      <c r="C23" s="18"/>
      <c r="D23" s="29">
        <f>+(500+500+500+500)/10</f>
        <v>200</v>
      </c>
      <c r="E23" s="30">
        <v>0</v>
      </c>
      <c r="F23" s="31"/>
      <c r="G23" s="30">
        <v>-500</v>
      </c>
      <c r="H23" s="31"/>
      <c r="I23" s="30">
        <v>0</v>
      </c>
      <c r="J23" s="31"/>
      <c r="K23" s="30">
        <v>0</v>
      </c>
      <c r="L23" s="31"/>
      <c r="M23" s="30">
        <v>-500</v>
      </c>
      <c r="N23" s="31"/>
      <c r="O23" s="30">
        <v>-500</v>
      </c>
      <c r="P23" s="31"/>
      <c r="Q23" s="30">
        <v>0</v>
      </c>
      <c r="R23" s="31"/>
      <c r="S23" s="30">
        <v>0</v>
      </c>
      <c r="T23" s="31"/>
      <c r="U23" s="30">
        <v>-500</v>
      </c>
      <c r="V23" s="31"/>
      <c r="W23" s="30">
        <v>0</v>
      </c>
      <c r="X23" s="31"/>
      <c r="Y23" s="30">
        <v>0</v>
      </c>
      <c r="Z23" s="31"/>
      <c r="AA23" s="23">
        <v>-500</v>
      </c>
      <c r="AB23" s="31"/>
    </row>
    <row r="24" spans="2:30" ht="15.75" customHeight="1" x14ac:dyDescent="0.2">
      <c r="B24" s="28" t="s">
        <v>11</v>
      </c>
      <c r="C24" s="18">
        <v>0.87</v>
      </c>
      <c r="D24" s="19">
        <v>350</v>
      </c>
      <c r="E24" s="30">
        <f>7680</f>
        <v>7680</v>
      </c>
      <c r="F24" s="32">
        <f>+E24/D24</f>
        <v>21.942857142857143</v>
      </c>
      <c r="G24" s="30">
        <f>+E24+E25</f>
        <v>7180</v>
      </c>
      <c r="H24" s="32">
        <f>+G24/D24</f>
        <v>20.514285714285716</v>
      </c>
      <c r="I24" s="30">
        <f>+G24+G25</f>
        <v>6680</v>
      </c>
      <c r="J24" s="32">
        <f>+I24/D24</f>
        <v>19.085714285714285</v>
      </c>
      <c r="K24" s="30">
        <f>+I24+I25</f>
        <v>6180</v>
      </c>
      <c r="L24" s="32">
        <f>+K24/D24</f>
        <v>17.657142857142858</v>
      </c>
      <c r="M24" s="30">
        <f>+K24+K25</f>
        <v>6180</v>
      </c>
      <c r="N24" s="32">
        <f>+M24/D24</f>
        <v>17.657142857142858</v>
      </c>
      <c r="O24" s="30">
        <f>+M24+M25</f>
        <v>5680</v>
      </c>
      <c r="P24" s="32">
        <f>+O24/D24</f>
        <v>16.228571428571428</v>
      </c>
      <c r="Q24" s="30">
        <f>+O24+O25</f>
        <v>5180</v>
      </c>
      <c r="R24" s="32">
        <f>+Q24/D24</f>
        <v>14.8</v>
      </c>
      <c r="S24" s="30">
        <f>+Q24+Q25</f>
        <v>5180</v>
      </c>
      <c r="T24" s="32">
        <f>+S24/D24</f>
        <v>14.8</v>
      </c>
      <c r="U24" s="30">
        <f>+S24+S25</f>
        <v>4680</v>
      </c>
      <c r="V24" s="32">
        <f>+U24/D24</f>
        <v>13.371428571428572</v>
      </c>
      <c r="W24" s="30">
        <f>+U24+U25</f>
        <v>4180</v>
      </c>
      <c r="X24" s="32">
        <f>+W24/D24</f>
        <v>11.942857142857143</v>
      </c>
      <c r="Y24" s="30">
        <f>+W24+W25</f>
        <v>4180</v>
      </c>
      <c r="Z24" s="32">
        <f>+Y24/D24</f>
        <v>11.942857142857143</v>
      </c>
      <c r="AA24" s="30">
        <f>+Y24+Y25</f>
        <v>3680</v>
      </c>
      <c r="AB24" s="32">
        <f>+AA24/D24</f>
        <v>10.514285714285714</v>
      </c>
      <c r="AC24" s="4">
        <f>+D24*AB24</f>
        <v>3680</v>
      </c>
    </row>
    <row r="25" spans="2:30" ht="15.75" customHeight="1" x14ac:dyDescent="0.2">
      <c r="B25" s="33" t="s">
        <v>27</v>
      </c>
      <c r="C25" s="34"/>
      <c r="D25" s="35">
        <f>+(1500+500+500+500+500)/10</f>
        <v>350</v>
      </c>
      <c r="E25" s="36">
        <v>-500</v>
      </c>
      <c r="F25" s="37"/>
      <c r="G25" s="36">
        <v>-500</v>
      </c>
      <c r="H25" s="37"/>
      <c r="I25" s="36">
        <v>-500</v>
      </c>
      <c r="J25" s="37"/>
      <c r="K25" s="36">
        <v>0</v>
      </c>
      <c r="L25" s="37"/>
      <c r="M25" s="36">
        <v>-500</v>
      </c>
      <c r="N25" s="37"/>
      <c r="O25" s="36">
        <v>-500</v>
      </c>
      <c r="P25" s="37"/>
      <c r="Q25" s="36">
        <v>0</v>
      </c>
      <c r="R25" s="37"/>
      <c r="S25" s="36">
        <v>-500</v>
      </c>
      <c r="T25" s="37"/>
      <c r="U25" s="36">
        <v>-500</v>
      </c>
      <c r="V25" s="37"/>
      <c r="W25" s="36">
        <v>0</v>
      </c>
      <c r="X25" s="37"/>
      <c r="Y25" s="36">
        <v>-500</v>
      </c>
      <c r="Z25" s="37"/>
      <c r="AA25" s="39">
        <v>-500</v>
      </c>
      <c r="AB25" s="37"/>
    </row>
    <row r="26" spans="2:30" ht="15.75" customHeight="1" x14ac:dyDescent="0.2">
      <c r="C26" s="18"/>
      <c r="D26" s="19"/>
      <c r="E26" s="30"/>
      <c r="F26" s="32"/>
      <c r="G26" s="30"/>
      <c r="H26" s="32"/>
      <c r="I26" s="30"/>
      <c r="J26" s="32"/>
      <c r="K26" s="30"/>
      <c r="L26" s="32"/>
      <c r="M26" s="30"/>
      <c r="N26" s="32"/>
      <c r="O26" s="30"/>
      <c r="P26" s="32"/>
      <c r="Q26" s="30"/>
      <c r="R26" s="32"/>
      <c r="S26" s="30"/>
      <c r="T26" s="32"/>
      <c r="U26" s="30"/>
      <c r="V26" s="32"/>
      <c r="W26" s="30"/>
      <c r="X26" s="32"/>
      <c r="Y26" s="30"/>
      <c r="Z26" s="32"/>
      <c r="AA26" s="30"/>
      <c r="AB26" s="32"/>
    </row>
    <row r="27" spans="2:30" ht="15.75" customHeight="1" x14ac:dyDescent="0.2">
      <c r="B27" s="25" t="s">
        <v>12</v>
      </c>
      <c r="C27" s="12">
        <v>1.7</v>
      </c>
      <c r="D27" s="13">
        <v>225</v>
      </c>
      <c r="E27" s="26">
        <f>5474-850</f>
        <v>4624</v>
      </c>
      <c r="F27" s="27">
        <f>+E27/D27</f>
        <v>20.551111111111112</v>
      </c>
      <c r="G27" s="26">
        <f>+E27+E28</f>
        <v>3774</v>
      </c>
      <c r="H27" s="27">
        <f>+G27/D27</f>
        <v>16.773333333333333</v>
      </c>
      <c r="I27" s="26">
        <f>+G27+G28</f>
        <v>3774</v>
      </c>
      <c r="J27" s="27">
        <f>+I27/D27</f>
        <v>16.773333333333333</v>
      </c>
      <c r="K27" s="26">
        <f>+I27+I28</f>
        <v>3574</v>
      </c>
      <c r="L27" s="27">
        <f>+K27/D27</f>
        <v>15.884444444444444</v>
      </c>
      <c r="M27" s="26">
        <f>+K27+K28</f>
        <v>3574</v>
      </c>
      <c r="N27" s="27">
        <f>+M27/D27</f>
        <v>15.884444444444444</v>
      </c>
      <c r="O27" s="26">
        <f>+M27+M28</f>
        <v>3274</v>
      </c>
      <c r="P27" s="27">
        <f>+O27/D27</f>
        <v>14.551111111111112</v>
      </c>
      <c r="Q27" s="26">
        <f>+O27+O28</f>
        <v>2774</v>
      </c>
      <c r="R27" s="27">
        <f>+Q27/D27</f>
        <v>12.328888888888889</v>
      </c>
      <c r="S27" s="26">
        <f>+Q27+Q28</f>
        <v>2374</v>
      </c>
      <c r="T27" s="27">
        <f>+S27/D27</f>
        <v>10.551111111111112</v>
      </c>
      <c r="U27" s="26">
        <f>+S27+S28</f>
        <v>2374</v>
      </c>
      <c r="V27" s="27">
        <f>+U27/D27</f>
        <v>10.551111111111112</v>
      </c>
      <c r="W27" s="26">
        <f>+U27+U28</f>
        <v>2374</v>
      </c>
      <c r="X27" s="27">
        <f>+W27/D27</f>
        <v>10.551111111111112</v>
      </c>
      <c r="Y27" s="26">
        <f>+W27+W28</f>
        <v>2374</v>
      </c>
      <c r="Z27" s="27">
        <f>+Y27/D27</f>
        <v>10.551111111111112</v>
      </c>
      <c r="AA27" s="26">
        <f>+Y27+Y28</f>
        <v>2164</v>
      </c>
      <c r="AB27" s="27">
        <f>+AA27/D27</f>
        <v>9.6177777777777784</v>
      </c>
      <c r="AC27" s="4">
        <f>+D27*AB27</f>
        <v>2164</v>
      </c>
    </row>
    <row r="28" spans="2:30" ht="15.75" customHeight="1" x14ac:dyDescent="0.2">
      <c r="B28" s="33" t="s">
        <v>27</v>
      </c>
      <c r="C28" s="34"/>
      <c r="D28" s="35">
        <f>+(1050+300+500+400)/10</f>
        <v>225</v>
      </c>
      <c r="E28" s="36">
        <v>-850</v>
      </c>
      <c r="F28" s="37"/>
      <c r="G28" s="36">
        <v>0</v>
      </c>
      <c r="H28" s="37"/>
      <c r="I28" s="36">
        <v>-200</v>
      </c>
      <c r="J28" s="37"/>
      <c r="K28" s="36">
        <v>0</v>
      </c>
      <c r="L28" s="37"/>
      <c r="M28" s="36">
        <v>-300</v>
      </c>
      <c r="N28" s="37"/>
      <c r="O28" s="36">
        <v>-500</v>
      </c>
      <c r="P28" s="37"/>
      <c r="Q28" s="36">
        <v>-400</v>
      </c>
      <c r="R28" s="37"/>
      <c r="S28" s="36">
        <v>0</v>
      </c>
      <c r="T28" s="37"/>
      <c r="U28" s="36">
        <v>0</v>
      </c>
      <c r="V28" s="37"/>
      <c r="W28" s="36">
        <v>0</v>
      </c>
      <c r="X28" s="37"/>
      <c r="Y28" s="36">
        <v>-210</v>
      </c>
      <c r="Z28" s="37"/>
      <c r="AA28" s="39">
        <v>-500</v>
      </c>
      <c r="AB28" s="37"/>
    </row>
    <row r="29" spans="2:30" ht="15.75" customHeight="1" x14ac:dyDescent="0.2">
      <c r="C29" s="6"/>
      <c r="F29" s="3"/>
      <c r="H29" s="3"/>
      <c r="J29" s="3"/>
      <c r="L29" s="3"/>
    </row>
    <row r="30" spans="2:30" ht="15.75" customHeight="1" x14ac:dyDescent="0.2">
      <c r="C30" s="6"/>
      <c r="F30" s="3"/>
      <c r="H30" s="3"/>
      <c r="J30" s="3"/>
      <c r="L30" s="3"/>
    </row>
    <row r="31" spans="2:30" ht="15.75" customHeight="1" x14ac:dyDescent="0.2">
      <c r="C31" s="6"/>
      <c r="E31" s="4" t="s">
        <v>28</v>
      </c>
      <c r="F31" s="3"/>
      <c r="H31" s="3"/>
      <c r="J31" s="3"/>
      <c r="L31" s="3"/>
      <c r="M31" s="4" t="s">
        <v>29</v>
      </c>
    </row>
    <row r="32" spans="2:30" ht="15.75" customHeight="1" x14ac:dyDescent="0.2">
      <c r="C32" s="6"/>
      <c r="E32" s="4" t="s">
        <v>30</v>
      </c>
      <c r="F32" s="3"/>
      <c r="H32" s="3"/>
      <c r="J32" s="3"/>
      <c r="L32" s="3"/>
      <c r="M32" s="4" t="s">
        <v>31</v>
      </c>
      <c r="AC32" s="4">
        <f>SUM(AC8:AC28)</f>
        <v>52216</v>
      </c>
    </row>
    <row r="33" spans="1:30" ht="15.75" customHeight="1" x14ac:dyDescent="0.2">
      <c r="A33" s="1"/>
      <c r="B33" s="45" t="s">
        <v>13</v>
      </c>
      <c r="C33" s="46"/>
      <c r="D33" s="46"/>
      <c r="E33" s="45"/>
      <c r="F33" s="47">
        <f>+F9+F11+F13+F16+F18+F20+F23+F25+F28</f>
        <v>0</v>
      </c>
      <c r="G33" s="45"/>
      <c r="H33" s="47">
        <f>+H9+H11+H13+H16+H18+H20+H23+H25+H28</f>
        <v>0</v>
      </c>
      <c r="I33" s="45"/>
      <c r="J33" s="47">
        <v>0</v>
      </c>
      <c r="K33" s="45"/>
      <c r="L33" s="47">
        <f>+L9+L11+L13+L16+L18+L20+L23+L25+L28</f>
        <v>0</v>
      </c>
      <c r="M33" s="45"/>
      <c r="N33" s="47">
        <f>+N9+N11+N13+N16+N18+N20+N23+N25+N28</f>
        <v>0</v>
      </c>
      <c r="O33" s="45"/>
      <c r="P33" s="47">
        <f>+P9+P11+P13+P16+P18+P20+P23+P25+P28</f>
        <v>0</v>
      </c>
      <c r="Q33" s="45"/>
      <c r="R33" s="47">
        <f>+R9+R11+R13+R16+R18+R20+R23+R25+R28</f>
        <v>0</v>
      </c>
      <c r="S33" s="45"/>
      <c r="T33" s="47">
        <f>+T9+T11+T13+T16+T18+T20+T23+T25+T28</f>
        <v>0</v>
      </c>
      <c r="U33" s="45"/>
      <c r="V33" s="47"/>
      <c r="W33" s="45"/>
      <c r="X33" s="47"/>
      <c r="Y33" s="45"/>
      <c r="Z33" s="47"/>
      <c r="AA33" s="45"/>
      <c r="AB33" s="47"/>
      <c r="AC33" s="1"/>
      <c r="AD33" s="1"/>
    </row>
    <row r="34" spans="1:30" ht="15.75" customHeight="1" x14ac:dyDescent="0.2">
      <c r="A34" s="1"/>
      <c r="B34" s="48" t="s">
        <v>14</v>
      </c>
      <c r="C34" s="1"/>
      <c r="D34" s="1"/>
      <c r="E34" s="48"/>
      <c r="F34" s="31"/>
      <c r="G34" s="48">
        <f>+N33*0.3</f>
        <v>0</v>
      </c>
      <c r="H34" s="31"/>
      <c r="I34" s="48">
        <v>0</v>
      </c>
      <c r="J34" s="31"/>
      <c r="K34" s="48">
        <f>+N33*0.7</f>
        <v>0</v>
      </c>
      <c r="L34" s="31"/>
      <c r="M34" s="48">
        <v>5404.8</v>
      </c>
      <c r="N34" s="31"/>
      <c r="O34" s="48">
        <f>+R33*0.7</f>
        <v>0</v>
      </c>
      <c r="P34" s="31"/>
      <c r="Q34" s="48">
        <v>12600</v>
      </c>
      <c r="R34" s="31"/>
      <c r="S34" s="48">
        <f>+V33*0.7</f>
        <v>0</v>
      </c>
      <c r="T34" s="31"/>
      <c r="U34" s="48">
        <f>+X33*0.7</f>
        <v>0</v>
      </c>
      <c r="V34" s="31"/>
      <c r="W34" s="48">
        <f>+Z33*0.7</f>
        <v>0</v>
      </c>
      <c r="X34" s="31"/>
      <c r="Y34" s="48">
        <f>+AB33*0.7</f>
        <v>0</v>
      </c>
      <c r="Z34" s="31"/>
      <c r="AA34" s="48">
        <f>+AD33*0.7</f>
        <v>0</v>
      </c>
      <c r="AB34" s="31"/>
      <c r="AC34" s="1"/>
      <c r="AD34" s="1"/>
    </row>
    <row r="35" spans="1:30" ht="15.75" customHeight="1" x14ac:dyDescent="0.2">
      <c r="A35" s="1"/>
      <c r="B35" s="48" t="s">
        <v>15</v>
      </c>
      <c r="C35" s="1"/>
      <c r="D35" s="1">
        <v>31222.69</v>
      </c>
      <c r="E35" s="48">
        <v>13871</v>
      </c>
      <c r="F35" s="31"/>
      <c r="G35" s="48">
        <v>8352</v>
      </c>
      <c r="H35" s="31"/>
      <c r="I35" s="48">
        <v>17473.239999999998</v>
      </c>
      <c r="J35" s="31"/>
      <c r="K35" s="48">
        <v>6655.28</v>
      </c>
      <c r="L35" s="31"/>
      <c r="M35" s="48">
        <v>10478</v>
      </c>
      <c r="N35" s="31"/>
      <c r="O35" s="48">
        <v>8350.2800000000007</v>
      </c>
      <c r="P35" s="31"/>
      <c r="Q35" s="48">
        <v>9577.16</v>
      </c>
      <c r="R35" s="31"/>
      <c r="S35" s="48">
        <v>3882.48</v>
      </c>
      <c r="T35" s="31"/>
      <c r="U35" s="48">
        <v>9501.4</v>
      </c>
      <c r="V35" s="31"/>
      <c r="W35" s="48">
        <v>4895.58</v>
      </c>
      <c r="X35" s="31"/>
      <c r="Y35" s="48">
        <v>9129.619999999999</v>
      </c>
      <c r="Z35" s="31"/>
      <c r="AA35" s="48">
        <v>7488.24</v>
      </c>
      <c r="AB35" s="31"/>
      <c r="AC35" s="1">
        <f>SUM(E35:AA35)</f>
        <v>109654.27999999998</v>
      </c>
      <c r="AD35" s="1"/>
    </row>
    <row r="36" spans="1:30" ht="15.75" customHeight="1" x14ac:dyDescent="0.2">
      <c r="A36" s="1"/>
      <c r="B36" s="48" t="s">
        <v>16</v>
      </c>
      <c r="C36" s="1"/>
      <c r="D36" s="1"/>
      <c r="E36" s="48">
        <f>-4800-12600</f>
        <v>-17400</v>
      </c>
      <c r="F36" s="31"/>
      <c r="G36" s="48">
        <f>-4800</f>
        <v>-4800</v>
      </c>
      <c r="H36" s="31"/>
      <c r="I36" s="48">
        <f>-4800-9292-4100</f>
        <v>-18192</v>
      </c>
      <c r="J36" s="31"/>
      <c r="K36" s="48">
        <f>-4800</f>
        <v>-4800</v>
      </c>
      <c r="L36" s="31"/>
      <c r="M36" s="48">
        <v>-4800</v>
      </c>
      <c r="N36" s="31"/>
      <c r="O36" s="48">
        <f>-4800-4400</f>
        <v>-9200</v>
      </c>
      <c r="P36" s="31"/>
      <c r="Q36" s="48">
        <v>-4800</v>
      </c>
      <c r="R36" s="31"/>
      <c r="S36" s="48">
        <v>-4800</v>
      </c>
      <c r="T36" s="31"/>
      <c r="U36" s="48">
        <f>-3800-3300</f>
        <v>-7100</v>
      </c>
      <c r="V36" s="31"/>
      <c r="W36" s="48">
        <v>-3800</v>
      </c>
      <c r="X36" s="31"/>
      <c r="Y36" s="48">
        <v>-7900</v>
      </c>
      <c r="Z36" s="31"/>
      <c r="AA36" s="48">
        <f>-3800-5000</f>
        <v>-8800</v>
      </c>
      <c r="AB36" s="31"/>
      <c r="AC36" s="1"/>
      <c r="AD36" s="1"/>
    </row>
    <row r="37" spans="1:30" ht="15.75" customHeight="1" x14ac:dyDescent="0.2">
      <c r="A37" s="1"/>
      <c r="B37" s="49" t="s">
        <v>32</v>
      </c>
      <c r="C37" s="50"/>
      <c r="D37" s="50"/>
      <c r="E37" s="49">
        <v>31749</v>
      </c>
      <c r="F37" s="37"/>
      <c r="G37" s="49">
        <f>+E37+G35-G34+G36</f>
        <v>35301</v>
      </c>
      <c r="H37" s="37"/>
      <c r="I37" s="49">
        <v>28680</v>
      </c>
      <c r="J37" s="37"/>
      <c r="K37" s="49">
        <v>30755.17</v>
      </c>
      <c r="L37" s="37"/>
      <c r="M37" s="49">
        <f>+K37+M35-M34+M36</f>
        <v>31028.369999999995</v>
      </c>
      <c r="N37" s="37"/>
      <c r="O37" s="49">
        <f>+M37+O35-O34+O36</f>
        <v>30178.649999999994</v>
      </c>
      <c r="P37" s="37"/>
      <c r="Q37" s="49">
        <f>+O37+Q35-Q34+Q36</f>
        <v>22355.809999999998</v>
      </c>
      <c r="R37" s="37"/>
      <c r="S37" s="49">
        <f>+Q37+S35-S34+S36</f>
        <v>21438.289999999997</v>
      </c>
      <c r="T37" s="37"/>
      <c r="U37" s="49">
        <f>+S37+U35-U34+U36</f>
        <v>23839.689999999995</v>
      </c>
      <c r="V37" s="37"/>
      <c r="W37" s="49">
        <f>+U37+W35-W34+W36</f>
        <v>24935.269999999997</v>
      </c>
      <c r="X37" s="37"/>
      <c r="Y37" s="49">
        <f>+W37+Y35-Y34+Y36</f>
        <v>26164.89</v>
      </c>
      <c r="Z37" s="37"/>
      <c r="AA37" s="49">
        <f>+Y37+AA35-AA34+AA36</f>
        <v>24853.129999999997</v>
      </c>
      <c r="AB37" s="37"/>
      <c r="AC37" s="1"/>
      <c r="AD37" s="1"/>
    </row>
    <row r="38" spans="1:30" ht="15.75" customHeight="1" x14ac:dyDescent="0.2">
      <c r="C38" s="6"/>
      <c r="E38" s="30" t="s">
        <v>33</v>
      </c>
      <c r="F38" s="32"/>
      <c r="G38" s="30"/>
      <c r="H38" s="32"/>
      <c r="I38" s="30"/>
      <c r="J38" s="32"/>
      <c r="K38" s="30"/>
      <c r="L38" s="32"/>
      <c r="M38" s="30"/>
      <c r="N38" s="19"/>
      <c r="O38" s="30" t="s">
        <v>34</v>
      </c>
      <c r="P38" s="19"/>
      <c r="Q38" s="30"/>
      <c r="R38" s="19"/>
      <c r="S38" s="30"/>
      <c r="T38" s="19"/>
      <c r="U38" s="30" t="s">
        <v>34</v>
      </c>
      <c r="V38" s="19"/>
      <c r="W38" s="30"/>
      <c r="X38" s="19"/>
      <c r="Y38" s="30" t="s">
        <v>35</v>
      </c>
      <c r="Z38" s="19"/>
      <c r="AA38" s="30" t="s">
        <v>36</v>
      </c>
      <c r="AB38" s="19"/>
    </row>
    <row r="39" spans="1:30" ht="15.75" customHeight="1" x14ac:dyDescent="0.2">
      <c r="C39" s="6"/>
      <c r="E39" s="30" t="s">
        <v>17</v>
      </c>
      <c r="F39" s="32"/>
      <c r="G39" s="30"/>
      <c r="H39" s="32"/>
      <c r="I39" s="30" t="s">
        <v>37</v>
      </c>
      <c r="J39" s="32"/>
      <c r="K39" s="30"/>
      <c r="L39" s="32"/>
      <c r="M39" s="30"/>
      <c r="N39" s="19"/>
      <c r="O39" s="30"/>
      <c r="P39" s="19"/>
      <c r="Q39" s="30"/>
      <c r="R39" s="19"/>
      <c r="S39" s="30"/>
      <c r="T39" s="19"/>
      <c r="U39" s="30" t="s">
        <v>38</v>
      </c>
      <c r="V39" s="19"/>
      <c r="W39" s="30">
        <v>0</v>
      </c>
      <c r="X39" s="19"/>
      <c r="Y39" s="30"/>
      <c r="Z39" s="19"/>
      <c r="AA39" s="30"/>
      <c r="AB39" s="19"/>
    </row>
    <row r="40" spans="1:30" ht="15.75" customHeight="1" x14ac:dyDescent="0.2">
      <c r="B40" s="1" t="s">
        <v>39</v>
      </c>
      <c r="C40" s="6"/>
      <c r="E40" s="49">
        <f>+E35-10000</f>
        <v>3871</v>
      </c>
      <c r="F40" s="37"/>
      <c r="G40" s="49">
        <v>0</v>
      </c>
      <c r="H40" s="37"/>
      <c r="I40" s="49">
        <v>0</v>
      </c>
      <c r="J40" s="37"/>
      <c r="K40" s="49">
        <v>0</v>
      </c>
      <c r="L40" s="37"/>
      <c r="M40" s="49">
        <v>0</v>
      </c>
      <c r="N40" s="37"/>
      <c r="O40" s="49">
        <v>0</v>
      </c>
      <c r="P40" s="37"/>
      <c r="Q40" s="49">
        <v>0</v>
      </c>
      <c r="R40" s="37"/>
      <c r="S40" s="49">
        <v>0</v>
      </c>
      <c r="T40" s="37"/>
      <c r="U40" s="49">
        <v>0</v>
      </c>
      <c r="V40" s="37"/>
      <c r="W40" s="49">
        <v>0</v>
      </c>
      <c r="X40" s="37"/>
      <c r="Y40" s="49">
        <v>0</v>
      </c>
      <c r="Z40" s="37"/>
      <c r="AA40" s="49">
        <v>0</v>
      </c>
      <c r="AB40" s="37"/>
    </row>
    <row r="41" spans="1:30" ht="15.75" customHeight="1" x14ac:dyDescent="0.2">
      <c r="C41" s="6"/>
      <c r="F41" s="3"/>
      <c r="H41" s="3"/>
      <c r="J41" s="3"/>
      <c r="L41" s="3"/>
      <c r="M41" s="4" t="s">
        <v>40</v>
      </c>
    </row>
    <row r="42" spans="1:30" ht="15.75" customHeight="1" x14ac:dyDescent="0.2">
      <c r="C42" s="6"/>
      <c r="F42" s="3"/>
      <c r="H42" s="3"/>
      <c r="J42" s="3"/>
      <c r="L42" s="3"/>
      <c r="M42" s="4" t="s">
        <v>41</v>
      </c>
      <c r="P42" s="4" t="s">
        <v>42</v>
      </c>
      <c r="Q42" s="4" t="s">
        <v>43</v>
      </c>
    </row>
    <row r="43" spans="1:30" ht="15.75" customHeight="1" x14ac:dyDescent="0.2">
      <c r="C43" s="6"/>
      <c r="F43" s="3"/>
      <c r="H43" s="3"/>
      <c r="J43" s="3"/>
      <c r="L43" s="3"/>
      <c r="M43" s="1">
        <f t="shared" ref="M43:M44" si="0">+P43*0.3</f>
        <v>3340.7999999999997</v>
      </c>
      <c r="P43" s="1">
        <f t="shared" ref="P43:P44" si="1">+Q43*R43</f>
        <v>11136</v>
      </c>
      <c r="Q43" s="4">
        <v>13920</v>
      </c>
      <c r="R43" s="4">
        <v>0.8</v>
      </c>
      <c r="S43" s="4" t="s">
        <v>44</v>
      </c>
      <c r="U43" s="4" t="s">
        <v>45</v>
      </c>
    </row>
    <row r="44" spans="1:30" ht="15.75" customHeight="1" x14ac:dyDescent="0.2">
      <c r="C44" s="6"/>
      <c r="F44" s="3"/>
      <c r="H44" s="3"/>
      <c r="J44" s="3"/>
      <c r="L44" s="3"/>
      <c r="M44" s="1">
        <f t="shared" si="0"/>
        <v>1750.896</v>
      </c>
      <c r="P44" s="1">
        <f t="shared" si="1"/>
        <v>5836.32</v>
      </c>
      <c r="Q44" s="4">
        <v>10080</v>
      </c>
      <c r="R44" s="4">
        <v>0.57899999999999996</v>
      </c>
      <c r="S44" s="4" t="s">
        <v>46</v>
      </c>
      <c r="U44" s="4" t="s">
        <v>47</v>
      </c>
    </row>
    <row r="45" spans="1:30" ht="15.75" customHeight="1" x14ac:dyDescent="0.2">
      <c r="C45" s="6"/>
      <c r="F45" s="3"/>
      <c r="H45" s="3"/>
      <c r="J45" s="3"/>
      <c r="L45" s="3"/>
      <c r="M45" s="1"/>
      <c r="P45" s="1"/>
    </row>
    <row r="46" spans="1:30" ht="15.75" customHeight="1" x14ac:dyDescent="0.2">
      <c r="C46" s="6"/>
      <c r="F46" s="3"/>
      <c r="H46" s="3"/>
      <c r="J46" s="3"/>
      <c r="L46" s="3"/>
      <c r="M46" s="1"/>
      <c r="P46" s="1"/>
    </row>
    <row r="47" spans="1:30" ht="15.75" customHeight="1" x14ac:dyDescent="0.2">
      <c r="C47" s="6"/>
      <c r="F47" s="3"/>
      <c r="H47" s="3"/>
      <c r="J47" s="3"/>
      <c r="L47" s="3"/>
    </row>
    <row r="48" spans="1:30" ht="15.75" customHeight="1" x14ac:dyDescent="0.2">
      <c r="C48" s="6"/>
      <c r="F48" s="3"/>
      <c r="H48" s="3"/>
      <c r="J48" s="3"/>
      <c r="L48" s="3"/>
      <c r="M48" s="1">
        <f>SUM(M43:M46)</f>
        <v>5091.6959999999999</v>
      </c>
      <c r="P48" s="1">
        <f>SUM(P43:P46)-M48</f>
        <v>11880.624</v>
      </c>
    </row>
    <row r="49" spans="3:16" ht="15.75" customHeight="1" x14ac:dyDescent="0.2">
      <c r="C49" s="6"/>
      <c r="F49" s="3"/>
      <c r="H49" s="3"/>
      <c r="J49" s="3"/>
      <c r="L49" s="3"/>
    </row>
    <row r="50" spans="3:16" ht="15.75" customHeight="1" x14ac:dyDescent="0.2">
      <c r="C50" s="6"/>
      <c r="F50" s="3"/>
      <c r="H50" s="3"/>
      <c r="J50" s="3"/>
      <c r="L50" s="3"/>
      <c r="M50" s="4">
        <v>5972.32</v>
      </c>
      <c r="P50" s="4">
        <v>11000</v>
      </c>
    </row>
    <row r="51" spans="3:16" ht="15.75" customHeight="1" x14ac:dyDescent="0.2">
      <c r="C51" s="6"/>
      <c r="F51" s="3"/>
      <c r="H51" s="3"/>
      <c r="J51" s="3"/>
      <c r="L51" s="3"/>
    </row>
    <row r="52" spans="3:16" ht="15.75" customHeight="1" x14ac:dyDescent="0.2">
      <c r="C52" s="6"/>
      <c r="F52" s="3"/>
      <c r="H52" s="3"/>
      <c r="J52" s="3"/>
      <c r="L52" s="3"/>
    </row>
    <row r="53" spans="3:16" ht="15.75" customHeight="1" x14ac:dyDescent="0.2">
      <c r="C53" s="6"/>
      <c r="F53" s="3"/>
      <c r="H53" s="3"/>
      <c r="J53" s="3"/>
      <c r="L53" s="3"/>
    </row>
    <row r="54" spans="3:16" ht="15.75" customHeight="1" x14ac:dyDescent="0.2">
      <c r="C54" s="6"/>
      <c r="F54" s="3"/>
      <c r="H54" s="3"/>
      <c r="J54" s="3"/>
      <c r="L54" s="3"/>
    </row>
    <row r="55" spans="3:16" ht="15.75" customHeight="1" x14ac:dyDescent="0.2">
      <c r="C55" s="6"/>
      <c r="F55" s="3"/>
      <c r="H55" s="3"/>
      <c r="J55" s="3"/>
      <c r="L55" s="3"/>
    </row>
    <row r="56" spans="3:16" ht="15.75" customHeight="1" x14ac:dyDescent="0.2">
      <c r="C56" s="6"/>
      <c r="F56" s="3"/>
      <c r="H56" s="3"/>
      <c r="J56" s="3"/>
      <c r="L56" s="3"/>
    </row>
    <row r="57" spans="3:16" ht="15.75" customHeight="1" x14ac:dyDescent="0.2">
      <c r="C57" s="6"/>
      <c r="F57" s="3"/>
      <c r="H57" s="3"/>
      <c r="J57" s="3"/>
      <c r="L57" s="3"/>
    </row>
    <row r="58" spans="3:16" ht="15.75" customHeight="1" x14ac:dyDescent="0.2">
      <c r="C58" s="6"/>
      <c r="F58" s="3"/>
      <c r="H58" s="3"/>
      <c r="J58" s="3"/>
      <c r="L58" s="3"/>
    </row>
    <row r="59" spans="3:16" ht="15.75" customHeight="1" x14ac:dyDescent="0.2">
      <c r="C59" s="6"/>
      <c r="F59" s="3"/>
      <c r="H59" s="3"/>
      <c r="J59" s="3"/>
      <c r="L59" s="3"/>
    </row>
    <row r="60" spans="3:16" ht="15.75" customHeight="1" x14ac:dyDescent="0.2">
      <c r="C60" s="6"/>
      <c r="F60" s="3"/>
      <c r="H60" s="3"/>
      <c r="J60" s="3"/>
      <c r="L60" s="3"/>
    </row>
    <row r="61" spans="3:16" ht="15.75" customHeight="1" x14ac:dyDescent="0.2">
      <c r="C61" s="6"/>
      <c r="F61" s="3"/>
      <c r="H61" s="3"/>
      <c r="J61" s="3"/>
      <c r="L61" s="3"/>
    </row>
    <row r="62" spans="3:16" ht="15.75" customHeight="1" x14ac:dyDescent="0.2">
      <c r="C62" s="6"/>
      <c r="F62" s="3"/>
      <c r="H62" s="3"/>
      <c r="J62" s="3"/>
      <c r="L62" s="3"/>
    </row>
    <row r="63" spans="3:16" ht="15.75" customHeight="1" x14ac:dyDescent="0.2">
      <c r="C63" s="6"/>
      <c r="F63" s="3"/>
      <c r="H63" s="3"/>
      <c r="J63" s="3"/>
      <c r="L63" s="3"/>
    </row>
    <row r="64" spans="3:16" ht="15.75" customHeight="1" x14ac:dyDescent="0.2">
      <c r="C64" s="6"/>
      <c r="F64" s="3"/>
      <c r="H64" s="3"/>
      <c r="J64" s="3"/>
      <c r="L64" s="3"/>
    </row>
    <row r="65" spans="3:12" ht="15.75" customHeight="1" x14ac:dyDescent="0.2">
      <c r="C65" s="6"/>
      <c r="F65" s="3"/>
      <c r="H65" s="3"/>
      <c r="J65" s="3"/>
      <c r="L65" s="3"/>
    </row>
    <row r="66" spans="3:12" ht="15.75" customHeight="1" x14ac:dyDescent="0.2">
      <c r="C66" s="6"/>
      <c r="F66" s="3"/>
      <c r="H66" s="3"/>
      <c r="J66" s="3"/>
      <c r="L66" s="3"/>
    </row>
    <row r="67" spans="3:12" ht="15.75" customHeight="1" x14ac:dyDescent="0.2">
      <c r="C67" s="6"/>
      <c r="F67" s="3"/>
      <c r="H67" s="3"/>
      <c r="J67" s="3"/>
      <c r="L67" s="3"/>
    </row>
    <row r="68" spans="3:12" ht="15.75" customHeight="1" x14ac:dyDescent="0.2">
      <c r="C68" s="6"/>
      <c r="F68" s="3"/>
      <c r="H68" s="3"/>
      <c r="J68" s="3"/>
      <c r="L68" s="3"/>
    </row>
    <row r="69" spans="3:12" ht="15.75" customHeight="1" x14ac:dyDescent="0.2">
      <c r="C69" s="6"/>
      <c r="F69" s="3"/>
      <c r="H69" s="3"/>
      <c r="J69" s="3"/>
      <c r="L69" s="3"/>
    </row>
    <row r="70" spans="3:12" ht="15.75" customHeight="1" x14ac:dyDescent="0.2">
      <c r="C70" s="6"/>
      <c r="F70" s="3"/>
      <c r="H70" s="3"/>
      <c r="J70" s="3"/>
      <c r="L70" s="3"/>
    </row>
    <row r="71" spans="3:12" ht="15.75" customHeight="1" x14ac:dyDescent="0.2">
      <c r="C71" s="6"/>
      <c r="F71" s="3"/>
      <c r="H71" s="3"/>
      <c r="J71" s="3"/>
      <c r="L71" s="3"/>
    </row>
    <row r="72" spans="3:12" ht="15.75" customHeight="1" x14ac:dyDescent="0.2">
      <c r="C72" s="6"/>
      <c r="F72" s="3"/>
      <c r="H72" s="3"/>
      <c r="J72" s="3"/>
      <c r="L72" s="3"/>
    </row>
    <row r="73" spans="3:12" ht="15.75" customHeight="1" x14ac:dyDescent="0.2">
      <c r="C73" s="6"/>
      <c r="F73" s="3"/>
      <c r="H73" s="3"/>
      <c r="J73" s="3"/>
      <c r="L73" s="3"/>
    </row>
    <row r="74" spans="3:12" ht="15.75" customHeight="1" x14ac:dyDescent="0.2">
      <c r="C74" s="6"/>
      <c r="F74" s="3"/>
      <c r="H74" s="3"/>
      <c r="J74" s="3"/>
      <c r="L74" s="3"/>
    </row>
    <row r="75" spans="3:12" ht="15.75" customHeight="1" x14ac:dyDescent="0.2">
      <c r="C75" s="6"/>
      <c r="F75" s="3"/>
      <c r="H75" s="3"/>
      <c r="J75" s="3"/>
      <c r="L75" s="3"/>
    </row>
    <row r="76" spans="3:12" ht="15.75" customHeight="1" x14ac:dyDescent="0.2">
      <c r="C76" s="6"/>
      <c r="F76" s="3"/>
      <c r="H76" s="3"/>
      <c r="J76" s="3"/>
      <c r="L76" s="3"/>
    </row>
    <row r="77" spans="3:12" ht="15.75" customHeight="1" x14ac:dyDescent="0.2">
      <c r="C77" s="6"/>
      <c r="F77" s="3"/>
      <c r="H77" s="3"/>
      <c r="J77" s="3"/>
      <c r="L77" s="3"/>
    </row>
    <row r="78" spans="3:12" ht="15.75" customHeight="1" x14ac:dyDescent="0.2">
      <c r="C78" s="6"/>
      <c r="F78" s="3"/>
      <c r="H78" s="3"/>
      <c r="J78" s="3"/>
      <c r="L78" s="3"/>
    </row>
    <row r="79" spans="3:12" ht="15.75" customHeight="1" x14ac:dyDescent="0.2">
      <c r="C79" s="6"/>
      <c r="F79" s="3"/>
      <c r="H79" s="3"/>
      <c r="J79" s="3"/>
      <c r="L79" s="3"/>
    </row>
    <row r="80" spans="3:12" ht="15.75" customHeight="1" x14ac:dyDescent="0.2">
      <c r="C80" s="6"/>
      <c r="F80" s="3"/>
      <c r="H80" s="3"/>
      <c r="J80" s="3"/>
      <c r="L80" s="3"/>
    </row>
    <row r="81" spans="3:12" ht="15.75" customHeight="1" x14ac:dyDescent="0.2">
      <c r="C81" s="6"/>
      <c r="F81" s="3"/>
      <c r="H81" s="3"/>
      <c r="J81" s="3"/>
      <c r="L81" s="3"/>
    </row>
    <row r="82" spans="3:12" ht="15.75" customHeight="1" x14ac:dyDescent="0.2">
      <c r="C82" s="6"/>
      <c r="F82" s="3"/>
      <c r="H82" s="3"/>
      <c r="J82" s="3"/>
      <c r="L82" s="3"/>
    </row>
    <row r="83" spans="3:12" ht="15.75" customHeight="1" x14ac:dyDescent="0.2">
      <c r="C83" s="6"/>
      <c r="F83" s="3"/>
      <c r="H83" s="3"/>
      <c r="J83" s="3"/>
      <c r="L83" s="3"/>
    </row>
    <row r="84" spans="3:12" ht="15.75" customHeight="1" x14ac:dyDescent="0.2">
      <c r="C84" s="6"/>
      <c r="F84" s="3"/>
      <c r="H84" s="3"/>
      <c r="J84" s="3"/>
      <c r="L84" s="3"/>
    </row>
    <row r="85" spans="3:12" ht="15.75" customHeight="1" x14ac:dyDescent="0.2">
      <c r="C85" s="6"/>
      <c r="F85" s="3"/>
      <c r="H85" s="3"/>
      <c r="J85" s="3"/>
      <c r="L85" s="3"/>
    </row>
    <row r="86" spans="3:12" ht="15.75" customHeight="1" x14ac:dyDescent="0.2">
      <c r="C86" s="6"/>
      <c r="F86" s="3"/>
      <c r="H86" s="3"/>
      <c r="J86" s="3"/>
      <c r="L86" s="3"/>
    </row>
    <row r="87" spans="3:12" ht="15.75" customHeight="1" x14ac:dyDescent="0.2">
      <c r="C87" s="6"/>
      <c r="F87" s="3"/>
      <c r="H87" s="3"/>
      <c r="J87" s="3"/>
      <c r="L87" s="3"/>
    </row>
    <row r="88" spans="3:12" ht="15.75" customHeight="1" x14ac:dyDescent="0.2">
      <c r="C88" s="6"/>
      <c r="F88" s="3"/>
      <c r="H88" s="3"/>
      <c r="J88" s="3"/>
      <c r="L88" s="3"/>
    </row>
    <row r="89" spans="3:12" ht="15.75" customHeight="1" x14ac:dyDescent="0.2">
      <c r="C89" s="6"/>
      <c r="F89" s="3"/>
      <c r="H89" s="3"/>
      <c r="J89" s="3"/>
      <c r="L89" s="3"/>
    </row>
    <row r="90" spans="3:12" ht="15.75" customHeight="1" x14ac:dyDescent="0.2">
      <c r="C90" s="6"/>
      <c r="F90" s="3"/>
      <c r="H90" s="3"/>
      <c r="J90" s="3"/>
      <c r="L90" s="3"/>
    </row>
    <row r="91" spans="3:12" ht="15.75" customHeight="1" x14ac:dyDescent="0.2">
      <c r="C91" s="6"/>
      <c r="F91" s="3"/>
      <c r="H91" s="3"/>
      <c r="J91" s="3"/>
      <c r="L91" s="3"/>
    </row>
    <row r="92" spans="3:12" ht="15.75" customHeight="1" x14ac:dyDescent="0.2">
      <c r="C92" s="6"/>
      <c r="F92" s="3"/>
      <c r="H92" s="3"/>
      <c r="J92" s="3"/>
      <c r="L92" s="3"/>
    </row>
    <row r="93" spans="3:12" ht="15.75" customHeight="1" x14ac:dyDescent="0.2">
      <c r="C93" s="6"/>
      <c r="F93" s="3"/>
      <c r="H93" s="3"/>
      <c r="J93" s="3"/>
      <c r="L93" s="3"/>
    </row>
    <row r="94" spans="3:12" ht="15.75" customHeight="1" x14ac:dyDescent="0.2">
      <c r="C94" s="6"/>
      <c r="F94" s="3"/>
      <c r="H94" s="3"/>
      <c r="J94" s="3"/>
      <c r="L94" s="3"/>
    </row>
    <row r="95" spans="3:12" ht="15.75" customHeight="1" x14ac:dyDescent="0.2">
      <c r="C95" s="6"/>
      <c r="F95" s="3"/>
      <c r="H95" s="3"/>
      <c r="J95" s="3"/>
      <c r="L95" s="3"/>
    </row>
    <row r="96" spans="3:12" ht="15.75" customHeight="1" x14ac:dyDescent="0.2">
      <c r="C96" s="6"/>
      <c r="F96" s="3"/>
      <c r="H96" s="3"/>
      <c r="J96" s="3"/>
      <c r="L96" s="3"/>
    </row>
    <row r="97" spans="3:12" ht="15.75" customHeight="1" x14ac:dyDescent="0.2">
      <c r="C97" s="6"/>
      <c r="F97" s="3"/>
      <c r="H97" s="3"/>
      <c r="J97" s="3"/>
      <c r="L97" s="3"/>
    </row>
    <row r="98" spans="3:12" ht="15.75" customHeight="1" x14ac:dyDescent="0.2">
      <c r="C98" s="6"/>
      <c r="F98" s="3"/>
      <c r="H98" s="3"/>
      <c r="J98" s="3"/>
      <c r="L98" s="3"/>
    </row>
    <row r="99" spans="3:12" ht="15.75" customHeight="1" x14ac:dyDescent="0.2">
      <c r="C99" s="6"/>
      <c r="F99" s="3"/>
      <c r="H99" s="3"/>
      <c r="J99" s="3"/>
      <c r="L99" s="3"/>
    </row>
    <row r="100" spans="3:12" ht="15.75" customHeight="1" x14ac:dyDescent="0.2">
      <c r="C100" s="6"/>
      <c r="F100" s="3"/>
      <c r="H100" s="3"/>
      <c r="J100" s="3"/>
      <c r="L100" s="3"/>
    </row>
    <row r="101" spans="3:12" ht="15.75" customHeight="1" x14ac:dyDescent="0.2">
      <c r="C101" s="6"/>
      <c r="F101" s="3"/>
      <c r="H101" s="3"/>
      <c r="J101" s="3"/>
      <c r="L101" s="3"/>
    </row>
    <row r="102" spans="3:12" ht="15.75" customHeight="1" x14ac:dyDescent="0.2">
      <c r="C102" s="6"/>
      <c r="F102" s="3"/>
      <c r="H102" s="3"/>
      <c r="J102" s="3"/>
      <c r="L102" s="3"/>
    </row>
    <row r="103" spans="3:12" ht="15.75" customHeight="1" x14ac:dyDescent="0.2">
      <c r="C103" s="6"/>
      <c r="F103" s="3"/>
      <c r="H103" s="3"/>
      <c r="J103" s="3"/>
      <c r="L103" s="3"/>
    </row>
    <row r="104" spans="3:12" ht="15.75" customHeight="1" x14ac:dyDescent="0.2">
      <c r="C104" s="6"/>
      <c r="F104" s="3"/>
      <c r="H104" s="3"/>
      <c r="J104" s="3"/>
      <c r="L104" s="3"/>
    </row>
    <row r="105" spans="3:12" ht="15.75" customHeight="1" x14ac:dyDescent="0.2">
      <c r="C105" s="6"/>
      <c r="F105" s="3"/>
      <c r="H105" s="3"/>
      <c r="J105" s="3"/>
      <c r="L105" s="3"/>
    </row>
    <row r="106" spans="3:12" ht="15.75" customHeight="1" x14ac:dyDescent="0.2">
      <c r="C106" s="6"/>
      <c r="F106" s="3"/>
      <c r="H106" s="3"/>
      <c r="J106" s="3"/>
      <c r="L106" s="3"/>
    </row>
    <row r="107" spans="3:12" ht="15.75" customHeight="1" x14ac:dyDescent="0.2">
      <c r="C107" s="6"/>
      <c r="F107" s="3"/>
      <c r="H107" s="3"/>
      <c r="J107" s="3"/>
      <c r="L107" s="3"/>
    </row>
    <row r="108" spans="3:12" ht="15.75" customHeight="1" x14ac:dyDescent="0.2">
      <c r="C108" s="6"/>
      <c r="F108" s="3"/>
      <c r="H108" s="3"/>
      <c r="J108" s="3"/>
      <c r="L108" s="3"/>
    </row>
    <row r="109" spans="3:12" ht="15.75" customHeight="1" x14ac:dyDescent="0.2">
      <c r="C109" s="6"/>
      <c r="F109" s="3"/>
      <c r="H109" s="3"/>
      <c r="J109" s="3"/>
      <c r="L109" s="3"/>
    </row>
    <row r="110" spans="3:12" ht="15.75" customHeight="1" x14ac:dyDescent="0.2">
      <c r="C110" s="6"/>
      <c r="F110" s="3"/>
      <c r="H110" s="3"/>
      <c r="J110" s="3"/>
      <c r="L110" s="3"/>
    </row>
    <row r="111" spans="3:12" ht="15.75" customHeight="1" x14ac:dyDescent="0.2">
      <c r="C111" s="6"/>
      <c r="F111" s="3"/>
      <c r="H111" s="3"/>
      <c r="J111" s="3"/>
      <c r="L111" s="3"/>
    </row>
    <row r="112" spans="3:12" ht="15.75" customHeight="1" x14ac:dyDescent="0.2">
      <c r="C112" s="6"/>
      <c r="F112" s="3"/>
      <c r="H112" s="3"/>
      <c r="J112" s="3"/>
      <c r="L112" s="3"/>
    </row>
    <row r="113" spans="3:12" ht="15.75" customHeight="1" x14ac:dyDescent="0.2">
      <c r="C113" s="6"/>
      <c r="F113" s="3"/>
      <c r="H113" s="3"/>
      <c r="J113" s="3"/>
      <c r="L113" s="3"/>
    </row>
    <row r="114" spans="3:12" ht="15.75" customHeight="1" x14ac:dyDescent="0.2">
      <c r="C114" s="6"/>
      <c r="F114" s="3"/>
      <c r="H114" s="3"/>
      <c r="J114" s="3"/>
      <c r="L114" s="3"/>
    </row>
    <row r="115" spans="3:12" ht="15.75" customHeight="1" x14ac:dyDescent="0.2">
      <c r="C115" s="6"/>
      <c r="F115" s="3"/>
      <c r="H115" s="3"/>
      <c r="J115" s="3"/>
      <c r="L115" s="3"/>
    </row>
    <row r="116" spans="3:12" ht="15.75" customHeight="1" x14ac:dyDescent="0.2">
      <c r="C116" s="6"/>
      <c r="F116" s="3"/>
      <c r="H116" s="3"/>
      <c r="J116" s="3"/>
      <c r="L116" s="3"/>
    </row>
    <row r="117" spans="3:12" ht="15.75" customHeight="1" x14ac:dyDescent="0.2">
      <c r="C117" s="6"/>
      <c r="F117" s="3"/>
      <c r="H117" s="3"/>
      <c r="J117" s="3"/>
      <c r="L117" s="3"/>
    </row>
    <row r="118" spans="3:12" ht="15.75" customHeight="1" x14ac:dyDescent="0.2">
      <c r="C118" s="6"/>
      <c r="F118" s="3"/>
      <c r="H118" s="3"/>
      <c r="J118" s="3"/>
      <c r="L118" s="3"/>
    </row>
    <row r="119" spans="3:12" ht="15.75" customHeight="1" x14ac:dyDescent="0.2">
      <c r="C119" s="6"/>
      <c r="F119" s="3"/>
      <c r="H119" s="3"/>
      <c r="J119" s="3"/>
      <c r="L119" s="3"/>
    </row>
    <row r="120" spans="3:12" ht="15.75" customHeight="1" x14ac:dyDescent="0.2">
      <c r="C120" s="6"/>
      <c r="F120" s="3"/>
      <c r="H120" s="3"/>
      <c r="J120" s="3"/>
      <c r="L120" s="3"/>
    </row>
    <row r="121" spans="3:12" ht="15.75" customHeight="1" x14ac:dyDescent="0.2">
      <c r="C121" s="6"/>
      <c r="F121" s="3"/>
      <c r="H121" s="3"/>
      <c r="J121" s="3"/>
      <c r="L121" s="3"/>
    </row>
    <row r="122" spans="3:12" ht="15.75" customHeight="1" x14ac:dyDescent="0.2">
      <c r="C122" s="6"/>
      <c r="F122" s="3"/>
      <c r="H122" s="3"/>
      <c r="J122" s="3"/>
      <c r="L122" s="3"/>
    </row>
    <row r="123" spans="3:12" ht="15.75" customHeight="1" x14ac:dyDescent="0.2">
      <c r="C123" s="6"/>
      <c r="F123" s="3"/>
      <c r="H123" s="3"/>
      <c r="J123" s="3"/>
      <c r="L123" s="3"/>
    </row>
    <row r="124" spans="3:12" ht="15.75" customHeight="1" x14ac:dyDescent="0.2">
      <c r="C124" s="6"/>
      <c r="F124" s="3"/>
      <c r="H124" s="3"/>
      <c r="J124" s="3"/>
      <c r="L124" s="3"/>
    </row>
    <row r="125" spans="3:12" ht="15.75" customHeight="1" x14ac:dyDescent="0.2">
      <c r="C125" s="6"/>
      <c r="F125" s="3"/>
      <c r="H125" s="3"/>
      <c r="J125" s="3"/>
      <c r="L125" s="3"/>
    </row>
    <row r="126" spans="3:12" ht="15.75" customHeight="1" x14ac:dyDescent="0.2">
      <c r="C126" s="6"/>
      <c r="F126" s="3"/>
      <c r="H126" s="3"/>
      <c r="J126" s="3"/>
      <c r="L126" s="3"/>
    </row>
    <row r="127" spans="3:12" ht="15.75" customHeight="1" x14ac:dyDescent="0.2">
      <c r="C127" s="6"/>
      <c r="F127" s="3"/>
      <c r="H127" s="3"/>
      <c r="J127" s="3"/>
      <c r="L127" s="3"/>
    </row>
    <row r="128" spans="3:12" ht="15.75" customHeight="1" x14ac:dyDescent="0.2">
      <c r="C128" s="6"/>
      <c r="F128" s="3"/>
      <c r="H128" s="3"/>
      <c r="J128" s="3"/>
      <c r="L128" s="3"/>
    </row>
    <row r="129" spans="3:12" ht="15.75" customHeight="1" x14ac:dyDescent="0.2">
      <c r="C129" s="6"/>
      <c r="F129" s="3"/>
      <c r="H129" s="3"/>
      <c r="J129" s="3"/>
      <c r="L129" s="3"/>
    </row>
    <row r="130" spans="3:12" ht="15.75" customHeight="1" x14ac:dyDescent="0.2">
      <c r="C130" s="6"/>
      <c r="F130" s="3"/>
      <c r="H130" s="3"/>
      <c r="J130" s="3"/>
      <c r="L130" s="3"/>
    </row>
    <row r="131" spans="3:12" ht="15.75" customHeight="1" x14ac:dyDescent="0.2">
      <c r="C131" s="6"/>
      <c r="F131" s="3"/>
      <c r="H131" s="3"/>
      <c r="J131" s="3"/>
      <c r="L131" s="3"/>
    </row>
    <row r="132" spans="3:12" ht="15.75" customHeight="1" x14ac:dyDescent="0.2">
      <c r="C132" s="6"/>
      <c r="F132" s="3"/>
      <c r="H132" s="3"/>
      <c r="J132" s="3"/>
      <c r="L132" s="3"/>
    </row>
    <row r="133" spans="3:12" ht="15.75" customHeight="1" x14ac:dyDescent="0.2">
      <c r="C133" s="6"/>
      <c r="F133" s="3"/>
      <c r="H133" s="3"/>
      <c r="J133" s="3"/>
      <c r="L133" s="3"/>
    </row>
    <row r="134" spans="3:12" ht="15.75" customHeight="1" x14ac:dyDescent="0.2">
      <c r="C134" s="6"/>
      <c r="F134" s="3"/>
      <c r="H134" s="3"/>
      <c r="J134" s="3"/>
      <c r="L134" s="3"/>
    </row>
    <row r="135" spans="3:12" ht="15.75" customHeight="1" x14ac:dyDescent="0.2">
      <c r="C135" s="6"/>
      <c r="F135" s="3"/>
      <c r="H135" s="3"/>
      <c r="J135" s="3"/>
      <c r="L135" s="3"/>
    </row>
    <row r="136" spans="3:12" ht="15.75" customHeight="1" x14ac:dyDescent="0.2">
      <c r="C136" s="6"/>
      <c r="F136" s="3"/>
      <c r="H136" s="3"/>
      <c r="J136" s="3"/>
      <c r="L136" s="3"/>
    </row>
    <row r="137" spans="3:12" ht="15.75" customHeight="1" x14ac:dyDescent="0.2">
      <c r="C137" s="6"/>
      <c r="F137" s="3"/>
      <c r="H137" s="3"/>
      <c r="J137" s="3"/>
      <c r="L137" s="3"/>
    </row>
    <row r="138" spans="3:12" ht="15.75" customHeight="1" x14ac:dyDescent="0.2">
      <c r="C138" s="6"/>
      <c r="F138" s="3"/>
      <c r="H138" s="3"/>
      <c r="J138" s="3"/>
      <c r="L138" s="3"/>
    </row>
    <row r="139" spans="3:12" ht="15.75" customHeight="1" x14ac:dyDescent="0.2">
      <c r="C139" s="6"/>
      <c r="F139" s="3"/>
      <c r="H139" s="3"/>
      <c r="J139" s="3"/>
      <c r="L139" s="3"/>
    </row>
    <row r="140" spans="3:12" ht="15.75" customHeight="1" x14ac:dyDescent="0.2">
      <c r="C140" s="6"/>
      <c r="F140" s="3"/>
      <c r="H140" s="3"/>
      <c r="J140" s="3"/>
      <c r="L140" s="3"/>
    </row>
    <row r="141" spans="3:12" ht="15.75" customHeight="1" x14ac:dyDescent="0.2">
      <c r="C141" s="6"/>
      <c r="F141" s="3"/>
      <c r="H141" s="3"/>
      <c r="J141" s="3"/>
      <c r="L141" s="3"/>
    </row>
    <row r="142" spans="3:12" ht="15.75" customHeight="1" x14ac:dyDescent="0.2">
      <c r="C142" s="6"/>
      <c r="F142" s="3"/>
      <c r="H142" s="3"/>
      <c r="J142" s="3"/>
      <c r="L142" s="3"/>
    </row>
    <row r="143" spans="3:12" ht="15.75" customHeight="1" x14ac:dyDescent="0.2">
      <c r="C143" s="6"/>
      <c r="F143" s="3"/>
      <c r="H143" s="3"/>
      <c r="J143" s="3"/>
      <c r="L143" s="3"/>
    </row>
    <row r="144" spans="3:12" ht="15.75" customHeight="1" x14ac:dyDescent="0.2">
      <c r="C144" s="6"/>
      <c r="F144" s="3"/>
      <c r="H144" s="3"/>
      <c r="J144" s="3"/>
      <c r="L144" s="3"/>
    </row>
    <row r="145" spans="3:12" ht="15.75" customHeight="1" x14ac:dyDescent="0.2">
      <c r="C145" s="6"/>
      <c r="F145" s="3"/>
      <c r="H145" s="3"/>
      <c r="J145" s="3"/>
      <c r="L145" s="3"/>
    </row>
    <row r="146" spans="3:12" ht="15.75" customHeight="1" x14ac:dyDescent="0.2">
      <c r="C146" s="6"/>
      <c r="F146" s="3"/>
      <c r="H146" s="3"/>
      <c r="J146" s="3"/>
      <c r="L146" s="3"/>
    </row>
    <row r="147" spans="3:12" ht="15.75" customHeight="1" x14ac:dyDescent="0.2">
      <c r="C147" s="6"/>
      <c r="F147" s="3"/>
      <c r="H147" s="3"/>
      <c r="J147" s="3"/>
      <c r="L147" s="3"/>
    </row>
    <row r="148" spans="3:12" ht="15.75" customHeight="1" x14ac:dyDescent="0.2">
      <c r="C148" s="6"/>
      <c r="F148" s="3"/>
      <c r="H148" s="3"/>
      <c r="J148" s="3"/>
      <c r="L148" s="3"/>
    </row>
    <row r="149" spans="3:12" ht="15.75" customHeight="1" x14ac:dyDescent="0.2">
      <c r="C149" s="6"/>
      <c r="F149" s="3"/>
      <c r="H149" s="3"/>
      <c r="J149" s="3"/>
      <c r="L149" s="3"/>
    </row>
    <row r="150" spans="3:12" ht="15.75" customHeight="1" x14ac:dyDescent="0.2">
      <c r="C150" s="6"/>
      <c r="F150" s="3"/>
      <c r="H150" s="3"/>
      <c r="J150" s="3"/>
      <c r="L150" s="3"/>
    </row>
    <row r="151" spans="3:12" ht="15.75" customHeight="1" x14ac:dyDescent="0.2">
      <c r="C151" s="6"/>
      <c r="F151" s="3"/>
      <c r="H151" s="3"/>
      <c r="J151" s="3"/>
      <c r="L151" s="3"/>
    </row>
    <row r="152" spans="3:12" ht="15.75" customHeight="1" x14ac:dyDescent="0.2">
      <c r="C152" s="6"/>
      <c r="F152" s="3"/>
      <c r="H152" s="3"/>
      <c r="J152" s="3"/>
      <c r="L152" s="3"/>
    </row>
    <row r="153" spans="3:12" ht="15.75" customHeight="1" x14ac:dyDescent="0.2">
      <c r="C153" s="6"/>
      <c r="F153" s="3"/>
      <c r="H153" s="3"/>
      <c r="J153" s="3"/>
      <c r="L153" s="3"/>
    </row>
    <row r="154" spans="3:12" ht="15.75" customHeight="1" x14ac:dyDescent="0.2">
      <c r="C154" s="6"/>
      <c r="F154" s="3"/>
      <c r="H154" s="3"/>
      <c r="J154" s="3"/>
      <c r="L154" s="3"/>
    </row>
    <row r="155" spans="3:12" ht="15.75" customHeight="1" x14ac:dyDescent="0.2">
      <c r="C155" s="6"/>
      <c r="F155" s="3"/>
      <c r="H155" s="3"/>
      <c r="J155" s="3"/>
      <c r="L155" s="3"/>
    </row>
    <row r="156" spans="3:12" ht="15.75" customHeight="1" x14ac:dyDescent="0.2">
      <c r="C156" s="6"/>
      <c r="F156" s="3"/>
      <c r="H156" s="3"/>
      <c r="J156" s="3"/>
      <c r="L156" s="3"/>
    </row>
    <row r="157" spans="3:12" ht="15.75" customHeight="1" x14ac:dyDescent="0.2">
      <c r="C157" s="6"/>
      <c r="F157" s="3"/>
      <c r="H157" s="3"/>
      <c r="J157" s="3"/>
      <c r="L157" s="3"/>
    </row>
    <row r="158" spans="3:12" ht="15.75" customHeight="1" x14ac:dyDescent="0.2">
      <c r="C158" s="6"/>
      <c r="F158" s="3"/>
      <c r="H158" s="3"/>
      <c r="J158" s="3"/>
      <c r="L158" s="3"/>
    </row>
    <row r="159" spans="3:12" ht="15.75" customHeight="1" x14ac:dyDescent="0.2">
      <c r="C159" s="6"/>
      <c r="F159" s="3"/>
      <c r="H159" s="3"/>
      <c r="J159" s="3"/>
      <c r="L159" s="3"/>
    </row>
    <row r="160" spans="3:12" ht="15.75" customHeight="1" x14ac:dyDescent="0.2">
      <c r="C160" s="6"/>
      <c r="F160" s="3"/>
      <c r="H160" s="3"/>
      <c r="J160" s="3"/>
      <c r="L160" s="3"/>
    </row>
    <row r="161" spans="3:12" ht="15.75" customHeight="1" x14ac:dyDescent="0.2">
      <c r="C161" s="6"/>
      <c r="F161" s="3"/>
      <c r="H161" s="3"/>
      <c r="J161" s="3"/>
      <c r="L161" s="3"/>
    </row>
    <row r="162" spans="3:12" ht="15.75" customHeight="1" x14ac:dyDescent="0.2">
      <c r="C162" s="6"/>
      <c r="F162" s="3"/>
      <c r="H162" s="3"/>
      <c r="J162" s="3"/>
      <c r="L162" s="3"/>
    </row>
    <row r="163" spans="3:12" ht="15.75" customHeight="1" x14ac:dyDescent="0.2">
      <c r="C163" s="6"/>
      <c r="F163" s="3"/>
      <c r="H163" s="3"/>
      <c r="J163" s="3"/>
      <c r="L163" s="3"/>
    </row>
    <row r="164" spans="3:12" ht="15.75" customHeight="1" x14ac:dyDescent="0.2">
      <c r="C164" s="6"/>
      <c r="F164" s="3"/>
      <c r="H164" s="3"/>
      <c r="J164" s="3"/>
      <c r="L164" s="3"/>
    </row>
    <row r="165" spans="3:12" ht="15.75" customHeight="1" x14ac:dyDescent="0.2">
      <c r="C165" s="6"/>
      <c r="F165" s="3"/>
      <c r="H165" s="3"/>
      <c r="J165" s="3"/>
      <c r="L165" s="3"/>
    </row>
    <row r="166" spans="3:12" ht="15.75" customHeight="1" x14ac:dyDescent="0.2">
      <c r="C166" s="6"/>
      <c r="F166" s="3"/>
      <c r="H166" s="3"/>
      <c r="J166" s="3"/>
      <c r="L166" s="3"/>
    </row>
    <row r="167" spans="3:12" ht="15.75" customHeight="1" x14ac:dyDescent="0.2">
      <c r="C167" s="6"/>
      <c r="F167" s="3"/>
      <c r="H167" s="3"/>
      <c r="J167" s="3"/>
      <c r="L167" s="3"/>
    </row>
    <row r="168" spans="3:12" ht="15.75" customHeight="1" x14ac:dyDescent="0.2">
      <c r="C168" s="6"/>
      <c r="F168" s="3"/>
      <c r="H168" s="3"/>
      <c r="J168" s="3"/>
      <c r="L168" s="3"/>
    </row>
    <row r="169" spans="3:12" ht="15.75" customHeight="1" x14ac:dyDescent="0.2">
      <c r="C169" s="6"/>
      <c r="F169" s="3"/>
      <c r="H169" s="3"/>
      <c r="J169" s="3"/>
      <c r="L169" s="3"/>
    </row>
    <row r="170" spans="3:12" ht="15.75" customHeight="1" x14ac:dyDescent="0.2">
      <c r="C170" s="6"/>
      <c r="F170" s="3"/>
      <c r="H170" s="3"/>
      <c r="J170" s="3"/>
      <c r="L170" s="3"/>
    </row>
    <row r="171" spans="3:12" ht="15.75" customHeight="1" x14ac:dyDescent="0.2">
      <c r="C171" s="6"/>
      <c r="F171" s="3"/>
      <c r="H171" s="3"/>
      <c r="J171" s="3"/>
      <c r="L171" s="3"/>
    </row>
    <row r="172" spans="3:12" ht="15.75" customHeight="1" x14ac:dyDescent="0.2">
      <c r="C172" s="6"/>
      <c r="F172" s="3"/>
      <c r="H172" s="3"/>
      <c r="J172" s="3"/>
      <c r="L172" s="3"/>
    </row>
    <row r="173" spans="3:12" ht="15.75" customHeight="1" x14ac:dyDescent="0.2">
      <c r="C173" s="6"/>
      <c r="F173" s="3"/>
      <c r="H173" s="3"/>
      <c r="J173" s="3"/>
      <c r="L173" s="3"/>
    </row>
    <row r="174" spans="3:12" ht="15.75" customHeight="1" x14ac:dyDescent="0.2">
      <c r="C174" s="6"/>
      <c r="F174" s="3"/>
      <c r="H174" s="3"/>
      <c r="J174" s="3"/>
      <c r="L174" s="3"/>
    </row>
    <row r="175" spans="3:12" ht="15.75" customHeight="1" x14ac:dyDescent="0.2">
      <c r="C175" s="6"/>
      <c r="F175" s="3"/>
      <c r="H175" s="3"/>
      <c r="J175" s="3"/>
      <c r="L175" s="3"/>
    </row>
    <row r="176" spans="3:12" ht="15.75" customHeight="1" x14ac:dyDescent="0.2">
      <c r="C176" s="6"/>
      <c r="F176" s="3"/>
      <c r="H176" s="3"/>
      <c r="J176" s="3"/>
      <c r="L176" s="3"/>
    </row>
    <row r="177" spans="3:12" ht="15.75" customHeight="1" x14ac:dyDescent="0.2">
      <c r="C177" s="6"/>
      <c r="F177" s="3"/>
      <c r="H177" s="3"/>
      <c r="J177" s="3"/>
      <c r="L177" s="3"/>
    </row>
    <row r="178" spans="3:12" ht="15.75" customHeight="1" x14ac:dyDescent="0.2">
      <c r="C178" s="6"/>
      <c r="F178" s="3"/>
      <c r="H178" s="3"/>
      <c r="J178" s="3"/>
      <c r="L178" s="3"/>
    </row>
    <row r="179" spans="3:12" ht="15.75" customHeight="1" x14ac:dyDescent="0.2">
      <c r="C179" s="6"/>
      <c r="F179" s="3"/>
      <c r="H179" s="3"/>
      <c r="J179" s="3"/>
      <c r="L179" s="3"/>
    </row>
    <row r="180" spans="3:12" ht="15.75" customHeight="1" x14ac:dyDescent="0.2">
      <c r="C180" s="6"/>
      <c r="F180" s="3"/>
      <c r="H180" s="3"/>
      <c r="J180" s="3"/>
      <c r="L180" s="3"/>
    </row>
    <row r="181" spans="3:12" ht="15.75" customHeight="1" x14ac:dyDescent="0.2">
      <c r="C181" s="6"/>
      <c r="F181" s="3"/>
      <c r="H181" s="3"/>
      <c r="J181" s="3"/>
      <c r="L181" s="3"/>
    </row>
    <row r="182" spans="3:12" ht="15.75" customHeight="1" x14ac:dyDescent="0.2">
      <c r="C182" s="6"/>
      <c r="F182" s="3"/>
      <c r="H182" s="3"/>
      <c r="J182" s="3"/>
      <c r="L182" s="3"/>
    </row>
    <row r="183" spans="3:12" ht="15.75" customHeight="1" x14ac:dyDescent="0.2">
      <c r="C183" s="6"/>
      <c r="F183" s="3"/>
      <c r="H183" s="3"/>
      <c r="J183" s="3"/>
      <c r="L183" s="3"/>
    </row>
    <row r="184" spans="3:12" ht="15.75" customHeight="1" x14ac:dyDescent="0.2">
      <c r="C184" s="6"/>
      <c r="F184" s="3"/>
      <c r="H184" s="3"/>
      <c r="J184" s="3"/>
      <c r="L184" s="3"/>
    </row>
    <row r="185" spans="3:12" ht="15.75" customHeight="1" x14ac:dyDescent="0.2">
      <c r="C185" s="6"/>
      <c r="F185" s="3"/>
      <c r="H185" s="3"/>
      <c r="J185" s="3"/>
      <c r="L185" s="3"/>
    </row>
    <row r="186" spans="3:12" ht="15.75" customHeight="1" x14ac:dyDescent="0.2">
      <c r="C186" s="6"/>
      <c r="F186" s="3"/>
      <c r="H186" s="3"/>
      <c r="J186" s="3"/>
      <c r="L186" s="3"/>
    </row>
    <row r="187" spans="3:12" ht="15.75" customHeight="1" x14ac:dyDescent="0.2">
      <c r="C187" s="6"/>
      <c r="F187" s="3"/>
      <c r="H187" s="3"/>
      <c r="J187" s="3"/>
      <c r="L187" s="3"/>
    </row>
    <row r="188" spans="3:12" ht="15.75" customHeight="1" x14ac:dyDescent="0.2">
      <c r="C188" s="6"/>
      <c r="F188" s="3"/>
      <c r="H188" s="3"/>
      <c r="J188" s="3"/>
      <c r="L188" s="3"/>
    </row>
    <row r="189" spans="3:12" ht="15.75" customHeight="1" x14ac:dyDescent="0.2">
      <c r="C189" s="6"/>
      <c r="F189" s="3"/>
      <c r="H189" s="3"/>
      <c r="J189" s="3"/>
      <c r="L189" s="3"/>
    </row>
    <row r="190" spans="3:12" ht="15.75" customHeight="1" x14ac:dyDescent="0.2">
      <c r="C190" s="6"/>
      <c r="F190" s="3"/>
      <c r="H190" s="3"/>
      <c r="J190" s="3"/>
      <c r="L190" s="3"/>
    </row>
    <row r="191" spans="3:12" ht="15.75" customHeight="1" x14ac:dyDescent="0.2">
      <c r="C191" s="6"/>
      <c r="F191" s="3"/>
      <c r="H191" s="3"/>
      <c r="J191" s="3"/>
      <c r="L191" s="3"/>
    </row>
    <row r="192" spans="3:12" ht="15.75" customHeight="1" x14ac:dyDescent="0.2">
      <c r="C192" s="6"/>
      <c r="F192" s="3"/>
      <c r="H192" s="3"/>
      <c r="J192" s="3"/>
      <c r="L192" s="3"/>
    </row>
    <row r="193" spans="3:12" ht="15.75" customHeight="1" x14ac:dyDescent="0.2">
      <c r="C193" s="6"/>
      <c r="F193" s="3"/>
      <c r="H193" s="3"/>
      <c r="J193" s="3"/>
      <c r="L193" s="3"/>
    </row>
    <row r="194" spans="3:12" ht="15.75" customHeight="1" x14ac:dyDescent="0.2">
      <c r="C194" s="6"/>
      <c r="F194" s="3"/>
      <c r="H194" s="3"/>
      <c r="J194" s="3"/>
      <c r="L194" s="3"/>
    </row>
    <row r="195" spans="3:12" ht="15.75" customHeight="1" x14ac:dyDescent="0.2">
      <c r="C195" s="6"/>
      <c r="F195" s="3"/>
      <c r="H195" s="3"/>
      <c r="J195" s="3"/>
      <c r="L195" s="3"/>
    </row>
    <row r="196" spans="3:12" ht="15.75" customHeight="1" x14ac:dyDescent="0.2">
      <c r="C196" s="6"/>
      <c r="F196" s="3"/>
      <c r="H196" s="3"/>
      <c r="J196" s="3"/>
      <c r="L196" s="3"/>
    </row>
    <row r="197" spans="3:12" ht="15.75" customHeight="1" x14ac:dyDescent="0.2">
      <c r="C197" s="6"/>
      <c r="F197" s="3"/>
      <c r="H197" s="3"/>
      <c r="J197" s="3"/>
      <c r="L197" s="3"/>
    </row>
    <row r="198" spans="3:12" ht="15.75" customHeight="1" x14ac:dyDescent="0.2">
      <c r="C198" s="6"/>
      <c r="F198" s="3"/>
      <c r="H198" s="3"/>
      <c r="J198" s="3"/>
      <c r="L198" s="3"/>
    </row>
    <row r="199" spans="3:12" ht="15.75" customHeight="1" x14ac:dyDescent="0.2">
      <c r="C199" s="6"/>
      <c r="F199" s="3"/>
      <c r="H199" s="3"/>
      <c r="J199" s="3"/>
      <c r="L199" s="3"/>
    </row>
    <row r="200" spans="3:12" ht="15.75" customHeight="1" x14ac:dyDescent="0.2">
      <c r="C200" s="6"/>
      <c r="F200" s="3"/>
      <c r="H200" s="3"/>
      <c r="J200" s="3"/>
      <c r="L200" s="3"/>
    </row>
    <row r="201" spans="3:12" ht="15.75" customHeight="1" x14ac:dyDescent="0.2">
      <c r="C201" s="6"/>
      <c r="F201" s="3"/>
      <c r="H201" s="3"/>
      <c r="J201" s="3"/>
      <c r="L201" s="3"/>
    </row>
    <row r="202" spans="3:12" ht="15.75" customHeight="1" x14ac:dyDescent="0.2">
      <c r="C202" s="6"/>
      <c r="F202" s="3"/>
      <c r="H202" s="3"/>
      <c r="J202" s="3"/>
      <c r="L202" s="3"/>
    </row>
    <row r="203" spans="3:12" ht="15.75" customHeight="1" x14ac:dyDescent="0.2">
      <c r="C203" s="6"/>
      <c r="F203" s="3"/>
      <c r="H203" s="3"/>
      <c r="J203" s="3"/>
      <c r="L203" s="3"/>
    </row>
    <row r="204" spans="3:12" ht="15.75" customHeight="1" x14ac:dyDescent="0.2">
      <c r="C204" s="6"/>
      <c r="F204" s="3"/>
      <c r="H204" s="3"/>
      <c r="J204" s="3"/>
      <c r="L204" s="3"/>
    </row>
    <row r="205" spans="3:12" ht="15.75" customHeight="1" x14ac:dyDescent="0.2">
      <c r="C205" s="6"/>
      <c r="F205" s="3"/>
      <c r="H205" s="3"/>
      <c r="J205" s="3"/>
      <c r="L205" s="3"/>
    </row>
    <row r="206" spans="3:12" ht="15.75" customHeight="1" x14ac:dyDescent="0.2">
      <c r="C206" s="6"/>
      <c r="F206" s="3"/>
      <c r="H206" s="3"/>
      <c r="J206" s="3"/>
      <c r="L206" s="3"/>
    </row>
    <row r="207" spans="3:12" ht="15.75" customHeight="1" x14ac:dyDescent="0.2">
      <c r="C207" s="6"/>
      <c r="F207" s="3"/>
      <c r="H207" s="3"/>
      <c r="J207" s="3"/>
      <c r="L207" s="3"/>
    </row>
    <row r="208" spans="3:12" ht="15.75" customHeight="1" x14ac:dyDescent="0.2">
      <c r="C208" s="6"/>
      <c r="F208" s="3"/>
      <c r="H208" s="3"/>
      <c r="J208" s="3"/>
      <c r="L208" s="3"/>
    </row>
    <row r="209" spans="3:12" ht="15.75" customHeight="1" x14ac:dyDescent="0.2">
      <c r="C209" s="6"/>
      <c r="F209" s="3"/>
      <c r="H209" s="3"/>
      <c r="J209" s="3"/>
      <c r="L209" s="3"/>
    </row>
    <row r="210" spans="3:12" ht="15.75" customHeight="1" x14ac:dyDescent="0.2">
      <c r="C210" s="6"/>
      <c r="F210" s="3"/>
      <c r="H210" s="3"/>
      <c r="J210" s="3"/>
      <c r="L210" s="3"/>
    </row>
    <row r="211" spans="3:12" ht="15.75" customHeight="1" x14ac:dyDescent="0.2">
      <c r="C211" s="6"/>
      <c r="F211" s="3"/>
      <c r="H211" s="3"/>
      <c r="J211" s="3"/>
      <c r="L211" s="3"/>
    </row>
    <row r="212" spans="3:12" ht="15.75" customHeight="1" x14ac:dyDescent="0.2">
      <c r="C212" s="6"/>
      <c r="F212" s="3"/>
      <c r="H212" s="3"/>
      <c r="J212" s="3"/>
      <c r="L212" s="3"/>
    </row>
    <row r="213" spans="3:12" ht="15.75" customHeight="1" x14ac:dyDescent="0.2">
      <c r="C213" s="6"/>
      <c r="F213" s="3"/>
      <c r="H213" s="3"/>
      <c r="J213" s="3"/>
      <c r="L213" s="3"/>
    </row>
    <row r="214" spans="3:12" ht="15.75" customHeight="1" x14ac:dyDescent="0.2">
      <c r="C214" s="6"/>
      <c r="F214" s="3"/>
      <c r="H214" s="3"/>
      <c r="J214" s="3"/>
      <c r="L214" s="3"/>
    </row>
    <row r="215" spans="3:12" ht="15.75" customHeight="1" x14ac:dyDescent="0.2">
      <c r="C215" s="6"/>
      <c r="F215" s="3"/>
      <c r="H215" s="3"/>
      <c r="J215" s="3"/>
      <c r="L215" s="3"/>
    </row>
    <row r="216" spans="3:12" ht="15.75" customHeight="1" x14ac:dyDescent="0.2">
      <c r="C216" s="6"/>
      <c r="F216" s="3"/>
      <c r="H216" s="3"/>
      <c r="J216" s="3"/>
      <c r="L216" s="3"/>
    </row>
    <row r="217" spans="3:12" ht="15.75" customHeight="1" x14ac:dyDescent="0.2">
      <c r="C217" s="6"/>
      <c r="F217" s="3"/>
      <c r="H217" s="3"/>
      <c r="J217" s="3"/>
      <c r="L217" s="3"/>
    </row>
    <row r="218" spans="3:12" ht="15.75" customHeight="1" x14ac:dyDescent="0.2">
      <c r="C218" s="6"/>
      <c r="F218" s="3"/>
      <c r="H218" s="3"/>
      <c r="J218" s="3"/>
      <c r="L218" s="3"/>
    </row>
    <row r="219" spans="3:12" ht="15.75" customHeight="1" x14ac:dyDescent="0.2">
      <c r="C219" s="6"/>
      <c r="F219" s="3"/>
      <c r="H219" s="3"/>
      <c r="J219" s="3"/>
      <c r="L219" s="3"/>
    </row>
    <row r="220" spans="3:12" ht="15.75" customHeight="1" x14ac:dyDescent="0.2">
      <c r="C220" s="6"/>
      <c r="F220" s="3"/>
      <c r="H220" s="3"/>
      <c r="J220" s="3"/>
      <c r="L220" s="3"/>
    </row>
    <row r="221" spans="3:12" ht="15.75" customHeight="1" x14ac:dyDescent="0.2">
      <c r="C221" s="6"/>
      <c r="F221" s="3"/>
      <c r="H221" s="3"/>
      <c r="J221" s="3"/>
      <c r="L221" s="3"/>
    </row>
    <row r="222" spans="3:12" ht="15.75" customHeight="1" x14ac:dyDescent="0.2">
      <c r="C222" s="6"/>
      <c r="F222" s="3"/>
      <c r="H222" s="3"/>
      <c r="J222" s="3"/>
      <c r="L222" s="3"/>
    </row>
    <row r="223" spans="3:12" ht="15.75" customHeight="1" x14ac:dyDescent="0.2">
      <c r="C223" s="6"/>
      <c r="F223" s="3"/>
      <c r="H223" s="3"/>
      <c r="J223" s="3"/>
      <c r="L223" s="3"/>
    </row>
    <row r="224" spans="3:12" ht="15.75" customHeight="1" x14ac:dyDescent="0.2">
      <c r="C224" s="6"/>
      <c r="F224" s="3"/>
      <c r="H224" s="3"/>
      <c r="J224" s="3"/>
      <c r="L224" s="3"/>
    </row>
    <row r="225" spans="3:12" ht="15.75" customHeight="1" x14ac:dyDescent="0.2">
      <c r="C225" s="6"/>
      <c r="F225" s="3"/>
      <c r="H225" s="3"/>
      <c r="J225" s="3"/>
      <c r="L225" s="3"/>
    </row>
    <row r="226" spans="3:12" ht="15.75" customHeight="1" x14ac:dyDescent="0.2">
      <c r="C226" s="6"/>
      <c r="F226" s="3"/>
      <c r="H226" s="3"/>
      <c r="J226" s="3"/>
      <c r="L226" s="3"/>
    </row>
    <row r="227" spans="3:12" ht="15.75" customHeight="1" x14ac:dyDescent="0.2">
      <c r="C227" s="6"/>
      <c r="F227" s="3"/>
      <c r="H227" s="3"/>
      <c r="J227" s="3"/>
      <c r="L227" s="3"/>
    </row>
    <row r="228" spans="3:12" ht="15.75" customHeight="1" x14ac:dyDescent="0.2">
      <c r="C228" s="6"/>
      <c r="F228" s="3"/>
      <c r="H228" s="3"/>
      <c r="J228" s="3"/>
      <c r="L228" s="3"/>
    </row>
    <row r="229" spans="3:12" ht="15.75" customHeight="1" x14ac:dyDescent="0.2">
      <c r="C229" s="6"/>
      <c r="F229" s="3"/>
      <c r="H229" s="3"/>
      <c r="J229" s="3"/>
      <c r="L229" s="3"/>
    </row>
    <row r="230" spans="3:12" ht="15.75" customHeight="1" x14ac:dyDescent="0.2">
      <c r="C230" s="6"/>
      <c r="F230" s="3"/>
      <c r="H230" s="3"/>
      <c r="J230" s="3"/>
      <c r="L230" s="3"/>
    </row>
    <row r="231" spans="3:12" ht="15.75" customHeight="1" x14ac:dyDescent="0.2">
      <c r="C231" s="6"/>
      <c r="F231" s="3"/>
      <c r="H231" s="3"/>
      <c r="J231" s="3"/>
      <c r="L231" s="3"/>
    </row>
    <row r="232" spans="3:12" ht="15.75" customHeight="1" x14ac:dyDescent="0.2">
      <c r="C232" s="6"/>
      <c r="F232" s="3"/>
      <c r="H232" s="3"/>
      <c r="J232" s="3"/>
      <c r="L232" s="3"/>
    </row>
    <row r="233" spans="3:12" ht="15.75" customHeight="1" x14ac:dyDescent="0.2">
      <c r="C233" s="6"/>
      <c r="F233" s="3"/>
      <c r="H233" s="3"/>
      <c r="J233" s="3"/>
      <c r="L233" s="3"/>
    </row>
    <row r="234" spans="3:12" ht="15.75" customHeight="1" x14ac:dyDescent="0.2">
      <c r="C234" s="6"/>
      <c r="F234" s="3"/>
      <c r="H234" s="3"/>
      <c r="J234" s="3"/>
      <c r="L234" s="3"/>
    </row>
    <row r="235" spans="3:12" ht="15.75" customHeight="1" x14ac:dyDescent="0.2">
      <c r="C235" s="6"/>
      <c r="F235" s="3"/>
      <c r="H235" s="3"/>
      <c r="J235" s="3"/>
      <c r="L235" s="3"/>
    </row>
    <row r="236" spans="3:12" ht="15.75" customHeight="1" x14ac:dyDescent="0.2">
      <c r="C236" s="6"/>
      <c r="F236" s="3"/>
      <c r="H236" s="3"/>
      <c r="J236" s="3"/>
      <c r="L236" s="3"/>
    </row>
    <row r="237" spans="3:12" ht="15.75" customHeight="1" x14ac:dyDescent="0.2">
      <c r="C237" s="6"/>
      <c r="F237" s="3"/>
      <c r="H237" s="3"/>
      <c r="J237" s="3"/>
      <c r="L237" s="3"/>
    </row>
    <row r="238" spans="3:12" ht="15.75" customHeight="1" x14ac:dyDescent="0.2">
      <c r="C238" s="6"/>
      <c r="F238" s="3"/>
      <c r="H238" s="3"/>
      <c r="J238" s="3"/>
      <c r="L238" s="3"/>
    </row>
    <row r="239" spans="3:12" ht="15.75" customHeight="1" x14ac:dyDescent="0.2">
      <c r="C239" s="6"/>
      <c r="F239" s="3"/>
      <c r="H239" s="3"/>
      <c r="J239" s="3"/>
      <c r="L239" s="3"/>
    </row>
    <row r="240" spans="3:12" ht="15.75" customHeight="1" x14ac:dyDescent="0.2">
      <c r="C240" s="6"/>
      <c r="F240" s="3"/>
      <c r="H240" s="3"/>
      <c r="J240" s="3"/>
      <c r="L240" s="3"/>
    </row>
    <row r="241" spans="3:12" ht="15.75" customHeight="1" x14ac:dyDescent="0.2">
      <c r="C241" s="6"/>
      <c r="F241" s="3"/>
      <c r="H241" s="3"/>
      <c r="J241" s="3"/>
      <c r="L241" s="3"/>
    </row>
    <row r="242" spans="3:12" ht="15.75" customHeight="1" x14ac:dyDescent="0.2">
      <c r="C242" s="6"/>
      <c r="F242" s="3"/>
      <c r="H242" s="3"/>
      <c r="J242" s="3"/>
      <c r="L242" s="3"/>
    </row>
    <row r="243" spans="3:12" ht="15.75" customHeight="1" x14ac:dyDescent="0.2">
      <c r="C243" s="6"/>
      <c r="F243" s="3"/>
      <c r="H243" s="3"/>
      <c r="J243" s="3"/>
      <c r="L243" s="3"/>
    </row>
    <row r="244" spans="3:12" ht="15.75" customHeight="1" x14ac:dyDescent="0.2">
      <c r="C244" s="6"/>
      <c r="F244" s="3"/>
      <c r="H244" s="3"/>
      <c r="J244" s="3"/>
      <c r="L244" s="3"/>
    </row>
    <row r="245" spans="3:12" ht="15.75" customHeight="1" x14ac:dyDescent="0.2">
      <c r="C245" s="6"/>
      <c r="F245" s="3"/>
      <c r="H245" s="3"/>
      <c r="J245" s="3"/>
      <c r="L245" s="3"/>
    </row>
    <row r="246" spans="3:12" ht="15.75" customHeight="1" x14ac:dyDescent="0.2">
      <c r="C246" s="6"/>
      <c r="F246" s="3"/>
      <c r="H246" s="3"/>
      <c r="J246" s="3"/>
      <c r="L246" s="3"/>
    </row>
    <row r="247" spans="3:12" ht="15.75" customHeight="1" x14ac:dyDescent="0.2">
      <c r="C247" s="6"/>
      <c r="F247" s="3"/>
      <c r="H247" s="3"/>
      <c r="J247" s="3"/>
      <c r="L247" s="3"/>
    </row>
    <row r="248" spans="3:12" ht="15.75" customHeight="1" x14ac:dyDescent="0.2">
      <c r="C248" s="6"/>
      <c r="F248" s="3"/>
      <c r="H248" s="3"/>
      <c r="J248" s="3"/>
      <c r="L248" s="3"/>
    </row>
    <row r="249" spans="3:12" ht="15.75" customHeight="1" x14ac:dyDescent="0.2">
      <c r="C249" s="6"/>
      <c r="F249" s="3"/>
      <c r="H249" s="3"/>
      <c r="J249" s="3"/>
      <c r="L249" s="3"/>
    </row>
    <row r="250" spans="3:12" ht="15.75" customHeight="1" x14ac:dyDescent="0.2">
      <c r="C250" s="6"/>
      <c r="F250" s="3"/>
      <c r="H250" s="3"/>
      <c r="J250" s="3"/>
      <c r="L250" s="3"/>
    </row>
    <row r="251" spans="3:12" ht="15.75" customHeight="1" x14ac:dyDescent="0.2">
      <c r="C251" s="6"/>
      <c r="F251" s="3"/>
      <c r="H251" s="3"/>
      <c r="J251" s="3"/>
      <c r="L251" s="3"/>
    </row>
    <row r="252" spans="3:12" ht="15.75" customHeight="1" x14ac:dyDescent="0.2">
      <c r="C252" s="6"/>
      <c r="F252" s="3"/>
      <c r="H252" s="3"/>
      <c r="J252" s="3"/>
      <c r="L252" s="3"/>
    </row>
    <row r="253" spans="3:12" ht="15.75" customHeight="1" x14ac:dyDescent="0.2">
      <c r="C253" s="6"/>
      <c r="F253" s="3"/>
      <c r="H253" s="3"/>
      <c r="J253" s="3"/>
      <c r="L253" s="3"/>
    </row>
    <row r="254" spans="3:12" ht="15.75" customHeight="1" x14ac:dyDescent="0.2">
      <c r="C254" s="6"/>
      <c r="F254" s="3"/>
      <c r="H254" s="3"/>
      <c r="J254" s="3"/>
      <c r="L254" s="3"/>
    </row>
    <row r="255" spans="3:12" ht="15.75" customHeight="1" x14ac:dyDescent="0.2">
      <c r="C255" s="6"/>
      <c r="F255" s="3"/>
      <c r="H255" s="3"/>
      <c r="J255" s="3"/>
      <c r="L255" s="3"/>
    </row>
    <row r="256" spans="3:12" ht="15.75" customHeight="1" x14ac:dyDescent="0.2">
      <c r="C256" s="6"/>
      <c r="F256" s="3"/>
      <c r="H256" s="3"/>
      <c r="J256" s="3"/>
      <c r="L256" s="3"/>
    </row>
    <row r="257" spans="3:12" ht="15.75" customHeight="1" x14ac:dyDescent="0.2">
      <c r="C257" s="6"/>
      <c r="F257" s="3"/>
      <c r="H257" s="3"/>
      <c r="J257" s="3"/>
      <c r="L257" s="3"/>
    </row>
    <row r="258" spans="3:12" ht="15.75" customHeight="1" x14ac:dyDescent="0.2">
      <c r="C258" s="6"/>
      <c r="F258" s="3"/>
      <c r="H258" s="3"/>
      <c r="J258" s="3"/>
      <c r="L258" s="3"/>
    </row>
    <row r="259" spans="3:12" ht="15.75" customHeight="1" x14ac:dyDescent="0.2">
      <c r="C259" s="6"/>
      <c r="F259" s="3"/>
      <c r="H259" s="3"/>
      <c r="J259" s="3"/>
      <c r="L259" s="3"/>
    </row>
    <row r="260" spans="3:12" ht="15.75" customHeight="1" x14ac:dyDescent="0.2">
      <c r="C260" s="6"/>
      <c r="F260" s="3"/>
      <c r="H260" s="3"/>
      <c r="J260" s="3"/>
      <c r="L260" s="3"/>
    </row>
    <row r="261" spans="3:12" ht="15.75" customHeight="1" x14ac:dyDescent="0.2">
      <c r="C261" s="6"/>
      <c r="F261" s="3"/>
      <c r="H261" s="3"/>
      <c r="J261" s="3"/>
      <c r="L261" s="3"/>
    </row>
    <row r="262" spans="3:12" ht="15.75" customHeight="1" x14ac:dyDescent="0.2">
      <c r="C262" s="6"/>
      <c r="F262" s="3"/>
      <c r="H262" s="3"/>
      <c r="J262" s="3"/>
      <c r="L262" s="3"/>
    </row>
    <row r="263" spans="3:12" ht="15.75" customHeight="1" x14ac:dyDescent="0.2">
      <c r="C263" s="6"/>
      <c r="F263" s="3"/>
      <c r="H263" s="3"/>
      <c r="J263" s="3"/>
      <c r="L263" s="3"/>
    </row>
    <row r="264" spans="3:12" ht="15.75" customHeight="1" x14ac:dyDescent="0.2">
      <c r="C264" s="6"/>
      <c r="F264" s="3"/>
      <c r="H264" s="3"/>
      <c r="J264" s="3"/>
      <c r="L264" s="3"/>
    </row>
    <row r="265" spans="3:12" ht="15.75" customHeight="1" x14ac:dyDescent="0.2">
      <c r="C265" s="6"/>
      <c r="F265" s="3"/>
      <c r="H265" s="3"/>
      <c r="J265" s="3"/>
      <c r="L265" s="3"/>
    </row>
    <row r="266" spans="3:12" ht="15.75" customHeight="1" x14ac:dyDescent="0.2">
      <c r="C266" s="6"/>
      <c r="F266" s="3"/>
      <c r="H266" s="3"/>
      <c r="J266" s="3"/>
      <c r="L266" s="3"/>
    </row>
    <row r="267" spans="3:12" ht="15.75" customHeight="1" x14ac:dyDescent="0.2">
      <c r="C267" s="6"/>
      <c r="F267" s="3"/>
      <c r="H267" s="3"/>
      <c r="J267" s="3"/>
      <c r="L267" s="3"/>
    </row>
    <row r="268" spans="3:12" ht="15.75" customHeight="1" x14ac:dyDescent="0.2">
      <c r="C268" s="6"/>
      <c r="F268" s="3"/>
      <c r="H268" s="3"/>
      <c r="J268" s="3"/>
      <c r="L268" s="3"/>
    </row>
    <row r="269" spans="3:12" ht="15.75" customHeight="1" x14ac:dyDescent="0.2">
      <c r="C269" s="6"/>
      <c r="F269" s="3"/>
      <c r="H269" s="3"/>
      <c r="J269" s="3"/>
      <c r="L269" s="3"/>
    </row>
    <row r="270" spans="3:12" ht="15.75" customHeight="1" x14ac:dyDescent="0.2">
      <c r="C270" s="6"/>
      <c r="F270" s="3"/>
      <c r="H270" s="3"/>
      <c r="J270" s="3"/>
      <c r="L270" s="3"/>
    </row>
    <row r="271" spans="3:12" ht="15.75" customHeight="1" x14ac:dyDescent="0.2">
      <c r="C271" s="6"/>
      <c r="F271" s="3"/>
      <c r="H271" s="3"/>
      <c r="J271" s="3"/>
      <c r="L271" s="3"/>
    </row>
    <row r="272" spans="3:12" ht="15.75" customHeight="1" x14ac:dyDescent="0.2">
      <c r="C272" s="6"/>
      <c r="F272" s="3"/>
      <c r="H272" s="3"/>
      <c r="J272" s="3"/>
      <c r="L272" s="3"/>
    </row>
    <row r="273" spans="3:12" ht="15.75" customHeight="1" x14ac:dyDescent="0.2">
      <c r="C273" s="6"/>
      <c r="F273" s="3"/>
      <c r="H273" s="3"/>
      <c r="J273" s="3"/>
      <c r="L273" s="3"/>
    </row>
    <row r="274" spans="3:12" ht="15.75" customHeight="1" x14ac:dyDescent="0.2">
      <c r="C274" s="6"/>
      <c r="F274" s="3"/>
      <c r="H274" s="3"/>
      <c r="J274" s="3"/>
      <c r="L274" s="3"/>
    </row>
    <row r="275" spans="3:12" ht="15.75" customHeight="1" x14ac:dyDescent="0.2">
      <c r="C275" s="6"/>
      <c r="F275" s="3"/>
      <c r="H275" s="3"/>
      <c r="J275" s="3"/>
      <c r="L275" s="3"/>
    </row>
    <row r="276" spans="3:12" ht="15.75" customHeight="1" x14ac:dyDescent="0.2">
      <c r="C276" s="6"/>
      <c r="F276" s="3"/>
      <c r="H276" s="3"/>
      <c r="J276" s="3"/>
      <c r="L276" s="3"/>
    </row>
    <row r="277" spans="3:12" ht="15.75" customHeight="1" x14ac:dyDescent="0.2">
      <c r="C277" s="6"/>
      <c r="F277" s="3"/>
      <c r="H277" s="3"/>
      <c r="J277" s="3"/>
      <c r="L277" s="3"/>
    </row>
    <row r="278" spans="3:12" ht="15.75" customHeight="1" x14ac:dyDescent="0.2">
      <c r="C278" s="6"/>
      <c r="F278" s="3"/>
      <c r="H278" s="3"/>
      <c r="J278" s="3"/>
      <c r="L278" s="3"/>
    </row>
    <row r="279" spans="3:12" ht="15.75" customHeight="1" x14ac:dyDescent="0.2">
      <c r="C279" s="6"/>
      <c r="F279" s="3"/>
      <c r="H279" s="3"/>
      <c r="J279" s="3"/>
      <c r="L279" s="3"/>
    </row>
    <row r="280" spans="3:12" ht="15.75" customHeight="1" x14ac:dyDescent="0.2">
      <c r="C280" s="6"/>
      <c r="F280" s="3"/>
      <c r="H280" s="3"/>
      <c r="J280" s="3"/>
      <c r="L280" s="3"/>
    </row>
    <row r="281" spans="3:12" ht="15.75" customHeight="1" x14ac:dyDescent="0.2">
      <c r="C281" s="6"/>
      <c r="F281" s="3"/>
      <c r="H281" s="3"/>
      <c r="J281" s="3"/>
      <c r="L281" s="3"/>
    </row>
    <row r="282" spans="3:12" ht="15.75" customHeight="1" x14ac:dyDescent="0.2">
      <c r="C282" s="6"/>
      <c r="F282" s="3"/>
      <c r="H282" s="3"/>
      <c r="J282" s="3"/>
      <c r="L282" s="3"/>
    </row>
    <row r="283" spans="3:12" ht="15.75" customHeight="1" x14ac:dyDescent="0.2">
      <c r="C283" s="6"/>
      <c r="F283" s="3"/>
      <c r="H283" s="3"/>
      <c r="J283" s="3"/>
      <c r="L283" s="3"/>
    </row>
    <row r="284" spans="3:12" ht="15.75" customHeight="1" x14ac:dyDescent="0.2">
      <c r="C284" s="6"/>
      <c r="F284" s="3"/>
      <c r="H284" s="3"/>
      <c r="J284" s="3"/>
      <c r="L284" s="3"/>
    </row>
    <row r="285" spans="3:12" ht="15.75" customHeight="1" x14ac:dyDescent="0.2">
      <c r="C285" s="6"/>
      <c r="F285" s="3"/>
      <c r="H285" s="3"/>
      <c r="J285" s="3"/>
      <c r="L285" s="3"/>
    </row>
    <row r="286" spans="3:12" ht="15.75" customHeight="1" x14ac:dyDescent="0.2">
      <c r="C286" s="6"/>
      <c r="F286" s="3"/>
      <c r="H286" s="3"/>
      <c r="J286" s="3"/>
      <c r="L286" s="3"/>
    </row>
    <row r="287" spans="3:12" ht="15.75" customHeight="1" x14ac:dyDescent="0.2">
      <c r="C287" s="6"/>
      <c r="F287" s="3"/>
      <c r="H287" s="3"/>
      <c r="J287" s="3"/>
      <c r="L287" s="3"/>
    </row>
    <row r="288" spans="3:12" ht="15.75" customHeight="1" x14ac:dyDescent="0.2">
      <c r="C288" s="6"/>
      <c r="F288" s="3"/>
      <c r="H288" s="3"/>
      <c r="J288" s="3"/>
      <c r="L288" s="3"/>
    </row>
    <row r="289" spans="3:12" ht="15.75" customHeight="1" x14ac:dyDescent="0.2">
      <c r="C289" s="6"/>
      <c r="F289" s="3"/>
      <c r="H289" s="3"/>
      <c r="J289" s="3"/>
      <c r="L289" s="3"/>
    </row>
    <row r="290" spans="3:12" ht="15.75" customHeight="1" x14ac:dyDescent="0.2">
      <c r="C290" s="6"/>
      <c r="F290" s="3"/>
      <c r="H290" s="3"/>
      <c r="J290" s="3"/>
      <c r="L290" s="3"/>
    </row>
    <row r="291" spans="3:12" ht="15.75" customHeight="1" x14ac:dyDescent="0.2">
      <c r="C291" s="6"/>
      <c r="F291" s="3"/>
      <c r="H291" s="3"/>
      <c r="J291" s="3"/>
      <c r="L291" s="3"/>
    </row>
    <row r="292" spans="3:12" ht="15.75" customHeight="1" x14ac:dyDescent="0.2">
      <c r="C292" s="6"/>
      <c r="F292" s="3"/>
      <c r="H292" s="3"/>
      <c r="J292" s="3"/>
      <c r="L292" s="3"/>
    </row>
    <row r="293" spans="3:12" ht="15.75" customHeight="1" x14ac:dyDescent="0.2">
      <c r="C293" s="6"/>
      <c r="F293" s="3"/>
      <c r="H293" s="3"/>
      <c r="J293" s="3"/>
      <c r="L293" s="3"/>
    </row>
    <row r="294" spans="3:12" ht="15.75" customHeight="1" x14ac:dyDescent="0.2">
      <c r="C294" s="6"/>
      <c r="F294" s="3"/>
      <c r="H294" s="3"/>
      <c r="J294" s="3"/>
      <c r="L294" s="3"/>
    </row>
    <row r="295" spans="3:12" ht="15.75" customHeight="1" x14ac:dyDescent="0.2">
      <c r="C295" s="6"/>
      <c r="F295" s="3"/>
      <c r="H295" s="3"/>
      <c r="J295" s="3"/>
      <c r="L295" s="3"/>
    </row>
    <row r="296" spans="3:12" ht="15.75" customHeight="1" x14ac:dyDescent="0.2">
      <c r="C296" s="6"/>
      <c r="F296" s="3"/>
      <c r="H296" s="3"/>
      <c r="J296" s="3"/>
      <c r="L296" s="3"/>
    </row>
    <row r="297" spans="3:12" ht="15.75" customHeight="1" x14ac:dyDescent="0.2">
      <c r="C297" s="6"/>
      <c r="F297" s="3"/>
      <c r="H297" s="3"/>
      <c r="J297" s="3"/>
      <c r="L297" s="3"/>
    </row>
    <row r="298" spans="3:12" ht="15.75" customHeight="1" x14ac:dyDescent="0.2">
      <c r="C298" s="6"/>
      <c r="F298" s="3"/>
      <c r="H298" s="3"/>
      <c r="J298" s="3"/>
      <c r="L298" s="3"/>
    </row>
    <row r="299" spans="3:12" ht="15.75" customHeight="1" x14ac:dyDescent="0.2">
      <c r="C299" s="6"/>
      <c r="F299" s="3"/>
      <c r="H299" s="3"/>
      <c r="J299" s="3"/>
      <c r="L299" s="3"/>
    </row>
    <row r="300" spans="3:12" ht="15.75" customHeight="1" x14ac:dyDescent="0.2">
      <c r="C300" s="6"/>
      <c r="F300" s="3"/>
      <c r="H300" s="3"/>
      <c r="J300" s="3"/>
      <c r="L300" s="3"/>
    </row>
    <row r="301" spans="3:12" ht="15.75" customHeight="1" x14ac:dyDescent="0.2">
      <c r="C301" s="6"/>
      <c r="F301" s="3"/>
      <c r="H301" s="3"/>
      <c r="J301" s="3"/>
      <c r="L301" s="3"/>
    </row>
    <row r="302" spans="3:12" ht="15.75" customHeight="1" x14ac:dyDescent="0.2">
      <c r="C302" s="6"/>
      <c r="F302" s="3"/>
      <c r="H302" s="3"/>
      <c r="J302" s="3"/>
      <c r="L302" s="3"/>
    </row>
    <row r="303" spans="3:12" ht="15.75" customHeight="1" x14ac:dyDescent="0.2">
      <c r="C303" s="6"/>
      <c r="F303" s="3"/>
      <c r="H303" s="3"/>
      <c r="J303" s="3"/>
      <c r="L303" s="3"/>
    </row>
    <row r="304" spans="3:12" ht="15.75" customHeight="1" x14ac:dyDescent="0.2">
      <c r="C304" s="6"/>
      <c r="F304" s="3"/>
      <c r="H304" s="3"/>
      <c r="J304" s="3"/>
      <c r="L304" s="3"/>
    </row>
    <row r="305" spans="3:12" ht="15.75" customHeight="1" x14ac:dyDescent="0.2">
      <c r="C305" s="6"/>
      <c r="F305" s="3"/>
      <c r="H305" s="3"/>
      <c r="J305" s="3"/>
      <c r="L305" s="3"/>
    </row>
    <row r="306" spans="3:12" ht="15.75" customHeight="1" x14ac:dyDescent="0.2">
      <c r="C306" s="6"/>
      <c r="F306" s="3"/>
      <c r="H306" s="3"/>
      <c r="J306" s="3"/>
      <c r="L306" s="3"/>
    </row>
    <row r="307" spans="3:12" ht="15.75" customHeight="1" x14ac:dyDescent="0.2">
      <c r="C307" s="6"/>
      <c r="F307" s="3"/>
      <c r="H307" s="3"/>
      <c r="J307" s="3"/>
      <c r="L307" s="3"/>
    </row>
    <row r="308" spans="3:12" ht="15.75" customHeight="1" x14ac:dyDescent="0.2">
      <c r="C308" s="6"/>
      <c r="F308" s="3"/>
      <c r="H308" s="3"/>
      <c r="J308" s="3"/>
      <c r="L308" s="3"/>
    </row>
    <row r="309" spans="3:12" ht="15.75" customHeight="1" x14ac:dyDescent="0.2">
      <c r="C309" s="6"/>
      <c r="F309" s="3"/>
      <c r="H309" s="3"/>
      <c r="J309" s="3"/>
      <c r="L309" s="3"/>
    </row>
    <row r="310" spans="3:12" ht="15.75" customHeight="1" x14ac:dyDescent="0.2">
      <c r="C310" s="6"/>
      <c r="F310" s="3"/>
      <c r="H310" s="3"/>
      <c r="J310" s="3"/>
      <c r="L310" s="3"/>
    </row>
    <row r="311" spans="3:12" ht="15.75" customHeight="1" x14ac:dyDescent="0.2">
      <c r="C311" s="6"/>
      <c r="F311" s="3"/>
      <c r="H311" s="3"/>
      <c r="J311" s="3"/>
      <c r="L311" s="3"/>
    </row>
    <row r="312" spans="3:12" ht="15.75" customHeight="1" x14ac:dyDescent="0.2">
      <c r="C312" s="6"/>
      <c r="F312" s="3"/>
      <c r="H312" s="3"/>
      <c r="J312" s="3"/>
      <c r="L312" s="3"/>
    </row>
    <row r="313" spans="3:12" ht="15.75" customHeight="1" x14ac:dyDescent="0.2">
      <c r="C313" s="6"/>
      <c r="F313" s="3"/>
      <c r="H313" s="3"/>
      <c r="J313" s="3"/>
      <c r="L313" s="3"/>
    </row>
    <row r="314" spans="3:12" ht="15.75" customHeight="1" x14ac:dyDescent="0.2">
      <c r="C314" s="6"/>
      <c r="F314" s="3"/>
      <c r="H314" s="3"/>
      <c r="J314" s="3"/>
      <c r="L314" s="3"/>
    </row>
    <row r="315" spans="3:12" ht="15.75" customHeight="1" x14ac:dyDescent="0.2">
      <c r="C315" s="6"/>
      <c r="F315" s="3"/>
      <c r="H315" s="3"/>
      <c r="J315" s="3"/>
      <c r="L315" s="3"/>
    </row>
    <row r="316" spans="3:12" ht="15.75" customHeight="1" x14ac:dyDescent="0.2">
      <c r="C316" s="6"/>
      <c r="F316" s="3"/>
      <c r="H316" s="3"/>
      <c r="J316" s="3"/>
      <c r="L316" s="3"/>
    </row>
    <row r="317" spans="3:12" ht="15.75" customHeight="1" x14ac:dyDescent="0.2">
      <c r="C317" s="6"/>
      <c r="F317" s="3"/>
      <c r="H317" s="3"/>
      <c r="J317" s="3"/>
      <c r="L317" s="3"/>
    </row>
    <row r="318" spans="3:12" ht="15.75" customHeight="1" x14ac:dyDescent="0.2">
      <c r="C318" s="6"/>
      <c r="F318" s="3"/>
      <c r="H318" s="3"/>
      <c r="J318" s="3"/>
      <c r="L318" s="3"/>
    </row>
    <row r="319" spans="3:12" ht="15.75" customHeight="1" x14ac:dyDescent="0.2">
      <c r="C319" s="6"/>
      <c r="F319" s="3"/>
      <c r="H319" s="3"/>
      <c r="J319" s="3"/>
      <c r="L319" s="3"/>
    </row>
    <row r="320" spans="3:12" ht="15.75" customHeight="1" x14ac:dyDescent="0.2">
      <c r="C320" s="6"/>
      <c r="F320" s="3"/>
      <c r="H320" s="3"/>
      <c r="J320" s="3"/>
      <c r="L320" s="3"/>
    </row>
    <row r="321" spans="3:12" ht="15.75" customHeight="1" x14ac:dyDescent="0.2">
      <c r="C321" s="6"/>
      <c r="F321" s="3"/>
      <c r="H321" s="3"/>
      <c r="J321" s="3"/>
      <c r="L321" s="3"/>
    </row>
    <row r="322" spans="3:12" ht="15.75" customHeight="1" x14ac:dyDescent="0.2">
      <c r="C322" s="6"/>
      <c r="F322" s="3"/>
      <c r="H322" s="3"/>
      <c r="J322" s="3"/>
      <c r="L322" s="3"/>
    </row>
    <row r="323" spans="3:12" ht="15.75" customHeight="1" x14ac:dyDescent="0.2">
      <c r="C323" s="6"/>
      <c r="F323" s="3"/>
      <c r="H323" s="3"/>
      <c r="J323" s="3"/>
      <c r="L323" s="3"/>
    </row>
    <row r="324" spans="3:12" ht="15.75" customHeight="1" x14ac:dyDescent="0.2">
      <c r="C324" s="6"/>
      <c r="F324" s="3"/>
      <c r="H324" s="3"/>
      <c r="J324" s="3"/>
      <c r="L324" s="3"/>
    </row>
    <row r="325" spans="3:12" ht="15.75" customHeight="1" x14ac:dyDescent="0.2">
      <c r="C325" s="6"/>
      <c r="F325" s="3"/>
      <c r="H325" s="3"/>
      <c r="J325" s="3"/>
      <c r="L325" s="3"/>
    </row>
    <row r="326" spans="3:12" ht="15.75" customHeight="1" x14ac:dyDescent="0.2">
      <c r="C326" s="6"/>
      <c r="F326" s="3"/>
      <c r="H326" s="3"/>
      <c r="J326" s="3"/>
      <c r="L326" s="3"/>
    </row>
    <row r="327" spans="3:12" ht="15.75" customHeight="1" x14ac:dyDescent="0.2">
      <c r="C327" s="6"/>
      <c r="F327" s="3"/>
      <c r="H327" s="3"/>
      <c r="J327" s="3"/>
      <c r="L327" s="3"/>
    </row>
    <row r="328" spans="3:12" ht="15.75" customHeight="1" x14ac:dyDescent="0.2">
      <c r="C328" s="6"/>
      <c r="F328" s="3"/>
      <c r="H328" s="3"/>
      <c r="J328" s="3"/>
      <c r="L328" s="3"/>
    </row>
    <row r="329" spans="3:12" ht="15.75" customHeight="1" x14ac:dyDescent="0.2">
      <c r="C329" s="6"/>
      <c r="F329" s="3"/>
      <c r="H329" s="3"/>
      <c r="J329" s="3"/>
      <c r="L329" s="3"/>
    </row>
    <row r="330" spans="3:12" ht="15.75" customHeight="1" x14ac:dyDescent="0.2">
      <c r="C330" s="6"/>
      <c r="F330" s="3"/>
      <c r="H330" s="3"/>
      <c r="J330" s="3"/>
      <c r="L330" s="3"/>
    </row>
    <row r="331" spans="3:12" ht="15.75" customHeight="1" x14ac:dyDescent="0.2">
      <c r="C331" s="6"/>
      <c r="F331" s="3"/>
      <c r="H331" s="3"/>
      <c r="J331" s="3"/>
      <c r="L331" s="3"/>
    </row>
    <row r="332" spans="3:12" ht="15.75" customHeight="1" x14ac:dyDescent="0.2">
      <c r="C332" s="6"/>
      <c r="F332" s="3"/>
      <c r="H332" s="3"/>
      <c r="J332" s="3"/>
      <c r="L332" s="3"/>
    </row>
    <row r="333" spans="3:12" ht="15.75" customHeight="1" x14ac:dyDescent="0.2">
      <c r="C333" s="6"/>
      <c r="F333" s="3"/>
      <c r="H333" s="3"/>
      <c r="J333" s="3"/>
      <c r="L333" s="3"/>
    </row>
    <row r="334" spans="3:12" ht="15.75" customHeight="1" x14ac:dyDescent="0.2">
      <c r="C334" s="6"/>
      <c r="F334" s="3"/>
      <c r="H334" s="3"/>
      <c r="J334" s="3"/>
      <c r="L334" s="3"/>
    </row>
    <row r="335" spans="3:12" ht="15.75" customHeight="1" x14ac:dyDescent="0.2">
      <c r="C335" s="6"/>
      <c r="F335" s="3"/>
      <c r="H335" s="3"/>
      <c r="J335" s="3"/>
      <c r="L335" s="3"/>
    </row>
    <row r="336" spans="3:12" ht="15.75" customHeight="1" x14ac:dyDescent="0.2">
      <c r="C336" s="6"/>
      <c r="F336" s="3"/>
      <c r="H336" s="3"/>
      <c r="J336" s="3"/>
      <c r="L336" s="3"/>
    </row>
    <row r="337" spans="3:12" ht="15.75" customHeight="1" x14ac:dyDescent="0.2">
      <c r="C337" s="6"/>
      <c r="F337" s="3"/>
      <c r="H337" s="3"/>
      <c r="J337" s="3"/>
      <c r="L337" s="3"/>
    </row>
    <row r="338" spans="3:12" ht="15.75" customHeight="1" x14ac:dyDescent="0.2">
      <c r="C338" s="6"/>
      <c r="F338" s="3"/>
      <c r="H338" s="3"/>
      <c r="J338" s="3"/>
      <c r="L338" s="3"/>
    </row>
    <row r="339" spans="3:12" ht="15.75" customHeight="1" x14ac:dyDescent="0.2">
      <c r="C339" s="6"/>
      <c r="F339" s="3"/>
      <c r="H339" s="3"/>
      <c r="J339" s="3"/>
      <c r="L339" s="3"/>
    </row>
    <row r="340" spans="3:12" ht="15.75" customHeight="1" x14ac:dyDescent="0.2">
      <c r="C340" s="6"/>
      <c r="F340" s="3"/>
      <c r="H340" s="3"/>
      <c r="J340" s="3"/>
      <c r="L340" s="3"/>
    </row>
    <row r="341" spans="3:12" ht="15.75" customHeight="1" x14ac:dyDescent="0.2">
      <c r="C341" s="6"/>
      <c r="F341" s="3"/>
      <c r="H341" s="3"/>
      <c r="J341" s="3"/>
      <c r="L341" s="3"/>
    </row>
    <row r="342" spans="3:12" ht="15.75" customHeight="1" x14ac:dyDescent="0.2">
      <c r="C342" s="6"/>
      <c r="F342" s="3"/>
      <c r="H342" s="3"/>
      <c r="J342" s="3"/>
      <c r="L342" s="3"/>
    </row>
    <row r="343" spans="3:12" ht="15.75" customHeight="1" x14ac:dyDescent="0.2">
      <c r="C343" s="6"/>
      <c r="F343" s="3"/>
      <c r="H343" s="3"/>
      <c r="J343" s="3"/>
      <c r="L343" s="3"/>
    </row>
    <row r="344" spans="3:12" ht="15.75" customHeight="1" x14ac:dyDescent="0.2">
      <c r="C344" s="6"/>
      <c r="F344" s="3"/>
      <c r="H344" s="3"/>
      <c r="J344" s="3"/>
      <c r="L344" s="3"/>
    </row>
    <row r="345" spans="3:12" ht="15.75" customHeight="1" x14ac:dyDescent="0.2">
      <c r="C345" s="6"/>
      <c r="F345" s="3"/>
      <c r="H345" s="3"/>
      <c r="J345" s="3"/>
      <c r="L345" s="3"/>
    </row>
    <row r="346" spans="3:12" ht="15.75" customHeight="1" x14ac:dyDescent="0.2">
      <c r="C346" s="6"/>
      <c r="F346" s="3"/>
      <c r="H346" s="3"/>
      <c r="J346" s="3"/>
      <c r="L346" s="3"/>
    </row>
    <row r="347" spans="3:12" ht="15.75" customHeight="1" x14ac:dyDescent="0.2">
      <c r="C347" s="6"/>
      <c r="F347" s="3"/>
      <c r="H347" s="3"/>
      <c r="J347" s="3"/>
      <c r="L347" s="3"/>
    </row>
    <row r="348" spans="3:12" ht="15.75" customHeight="1" x14ac:dyDescent="0.2">
      <c r="C348" s="6"/>
      <c r="F348" s="3"/>
      <c r="H348" s="3"/>
      <c r="J348" s="3"/>
      <c r="L348" s="3"/>
    </row>
    <row r="349" spans="3:12" ht="15.75" customHeight="1" x14ac:dyDescent="0.2">
      <c r="C349" s="6"/>
      <c r="F349" s="3"/>
      <c r="H349" s="3"/>
      <c r="J349" s="3"/>
      <c r="L349" s="3"/>
    </row>
    <row r="350" spans="3:12" ht="15.75" customHeight="1" x14ac:dyDescent="0.2">
      <c r="C350" s="6"/>
      <c r="F350" s="3"/>
      <c r="H350" s="3"/>
      <c r="J350" s="3"/>
      <c r="L350" s="3"/>
    </row>
    <row r="351" spans="3:12" ht="15.75" customHeight="1" x14ac:dyDescent="0.2">
      <c r="C351" s="6"/>
      <c r="F351" s="3"/>
      <c r="H351" s="3"/>
      <c r="J351" s="3"/>
      <c r="L351" s="3"/>
    </row>
    <row r="352" spans="3:12" ht="15.75" customHeight="1" x14ac:dyDescent="0.2">
      <c r="C352" s="6"/>
      <c r="F352" s="3"/>
      <c r="H352" s="3"/>
      <c r="J352" s="3"/>
      <c r="L352" s="3"/>
    </row>
    <row r="353" spans="3:12" ht="15.75" customHeight="1" x14ac:dyDescent="0.2">
      <c r="C353" s="6"/>
      <c r="F353" s="3"/>
      <c r="H353" s="3"/>
      <c r="J353" s="3"/>
      <c r="L353" s="3"/>
    </row>
    <row r="354" spans="3:12" ht="15.75" customHeight="1" x14ac:dyDescent="0.2">
      <c r="C354" s="6"/>
      <c r="F354" s="3"/>
      <c r="H354" s="3"/>
      <c r="J354" s="3"/>
      <c r="L354" s="3"/>
    </row>
    <row r="355" spans="3:12" ht="15.75" customHeight="1" x14ac:dyDescent="0.2">
      <c r="C355" s="6"/>
      <c r="F355" s="3"/>
      <c r="H355" s="3"/>
      <c r="J355" s="3"/>
      <c r="L355" s="3"/>
    </row>
    <row r="356" spans="3:12" ht="15.75" customHeight="1" x14ac:dyDescent="0.2">
      <c r="C356" s="6"/>
      <c r="F356" s="3"/>
      <c r="H356" s="3"/>
      <c r="J356" s="3"/>
      <c r="L356" s="3"/>
    </row>
    <row r="357" spans="3:12" ht="15.75" customHeight="1" x14ac:dyDescent="0.2">
      <c r="C357" s="6"/>
      <c r="F357" s="3"/>
      <c r="H357" s="3"/>
      <c r="J357" s="3"/>
      <c r="L357" s="3"/>
    </row>
    <row r="358" spans="3:12" ht="15.75" customHeight="1" x14ac:dyDescent="0.2">
      <c r="C358" s="6"/>
      <c r="F358" s="3"/>
      <c r="H358" s="3"/>
      <c r="J358" s="3"/>
      <c r="L358" s="3"/>
    </row>
    <row r="359" spans="3:12" ht="15.75" customHeight="1" x14ac:dyDescent="0.2">
      <c r="C359" s="6"/>
      <c r="F359" s="3"/>
      <c r="H359" s="3"/>
      <c r="J359" s="3"/>
      <c r="L359" s="3"/>
    </row>
    <row r="360" spans="3:12" ht="15.75" customHeight="1" x14ac:dyDescent="0.2">
      <c r="C360" s="6"/>
      <c r="F360" s="3"/>
      <c r="H360" s="3"/>
      <c r="J360" s="3"/>
      <c r="L360" s="3"/>
    </row>
    <row r="361" spans="3:12" ht="15.75" customHeight="1" x14ac:dyDescent="0.2">
      <c r="C361" s="6"/>
      <c r="F361" s="3"/>
      <c r="H361" s="3"/>
      <c r="J361" s="3"/>
      <c r="L361" s="3"/>
    </row>
    <row r="362" spans="3:12" ht="15.75" customHeight="1" x14ac:dyDescent="0.2">
      <c r="C362" s="6"/>
      <c r="F362" s="3"/>
      <c r="H362" s="3"/>
      <c r="J362" s="3"/>
      <c r="L362" s="3"/>
    </row>
    <row r="363" spans="3:12" ht="15.75" customHeight="1" x14ac:dyDescent="0.2">
      <c r="C363" s="6"/>
      <c r="F363" s="3"/>
      <c r="H363" s="3"/>
      <c r="J363" s="3"/>
      <c r="L363" s="3"/>
    </row>
    <row r="364" spans="3:12" ht="15.75" customHeight="1" x14ac:dyDescent="0.2">
      <c r="C364" s="6"/>
      <c r="F364" s="3"/>
      <c r="H364" s="3"/>
      <c r="J364" s="3"/>
      <c r="L364" s="3"/>
    </row>
    <row r="365" spans="3:12" ht="15.75" customHeight="1" x14ac:dyDescent="0.2">
      <c r="C365" s="6"/>
      <c r="F365" s="3"/>
      <c r="H365" s="3"/>
      <c r="J365" s="3"/>
      <c r="L365" s="3"/>
    </row>
    <row r="366" spans="3:12" ht="15.75" customHeight="1" x14ac:dyDescent="0.2">
      <c r="C366" s="6"/>
      <c r="F366" s="3"/>
      <c r="H366" s="3"/>
      <c r="J366" s="3"/>
      <c r="L366" s="3"/>
    </row>
    <row r="367" spans="3:12" ht="15.75" customHeight="1" x14ac:dyDescent="0.2">
      <c r="C367" s="6"/>
      <c r="F367" s="3"/>
      <c r="H367" s="3"/>
      <c r="J367" s="3"/>
      <c r="L367" s="3"/>
    </row>
    <row r="368" spans="3:12" ht="15.75" customHeight="1" x14ac:dyDescent="0.2">
      <c r="C368" s="6"/>
      <c r="F368" s="3"/>
      <c r="H368" s="3"/>
      <c r="J368" s="3"/>
      <c r="L368" s="3"/>
    </row>
    <row r="369" spans="3:12" ht="15.75" customHeight="1" x14ac:dyDescent="0.2">
      <c r="C369" s="6"/>
      <c r="F369" s="3"/>
      <c r="H369" s="3"/>
      <c r="J369" s="3"/>
      <c r="L369" s="3"/>
    </row>
    <row r="370" spans="3:12" ht="15.75" customHeight="1" x14ac:dyDescent="0.2">
      <c r="C370" s="6"/>
      <c r="F370" s="3"/>
      <c r="H370" s="3"/>
      <c r="J370" s="3"/>
      <c r="L370" s="3"/>
    </row>
    <row r="371" spans="3:12" ht="15.75" customHeight="1" x14ac:dyDescent="0.2">
      <c r="C371" s="6"/>
      <c r="F371" s="3"/>
      <c r="H371" s="3"/>
      <c r="J371" s="3"/>
      <c r="L371" s="3"/>
    </row>
    <row r="372" spans="3:12" ht="15.75" customHeight="1" x14ac:dyDescent="0.2">
      <c r="C372" s="6"/>
      <c r="F372" s="3"/>
      <c r="H372" s="3"/>
      <c r="J372" s="3"/>
      <c r="L372" s="3"/>
    </row>
    <row r="373" spans="3:12" ht="15.75" customHeight="1" x14ac:dyDescent="0.2">
      <c r="C373" s="6"/>
      <c r="F373" s="3"/>
      <c r="H373" s="3"/>
      <c r="J373" s="3"/>
      <c r="L373" s="3"/>
    </row>
    <row r="374" spans="3:12" ht="15.75" customHeight="1" x14ac:dyDescent="0.2">
      <c r="C374" s="6"/>
      <c r="F374" s="3"/>
      <c r="H374" s="3"/>
      <c r="J374" s="3"/>
      <c r="L374" s="3"/>
    </row>
    <row r="375" spans="3:12" ht="15.75" customHeight="1" x14ac:dyDescent="0.2">
      <c r="C375" s="6"/>
      <c r="F375" s="3"/>
      <c r="H375" s="3"/>
      <c r="J375" s="3"/>
      <c r="L375" s="3"/>
    </row>
    <row r="376" spans="3:12" ht="15.75" customHeight="1" x14ac:dyDescent="0.2">
      <c r="C376" s="6"/>
      <c r="F376" s="3"/>
      <c r="H376" s="3"/>
      <c r="J376" s="3"/>
      <c r="L376" s="3"/>
    </row>
    <row r="377" spans="3:12" ht="15.75" customHeight="1" x14ac:dyDescent="0.2">
      <c r="C377" s="6"/>
      <c r="F377" s="3"/>
      <c r="H377" s="3"/>
      <c r="J377" s="3"/>
      <c r="L377" s="3"/>
    </row>
    <row r="378" spans="3:12" ht="15.75" customHeight="1" x14ac:dyDescent="0.2">
      <c r="C378" s="6"/>
      <c r="F378" s="3"/>
      <c r="H378" s="3"/>
      <c r="J378" s="3"/>
      <c r="L378" s="3"/>
    </row>
    <row r="379" spans="3:12" ht="15.75" customHeight="1" x14ac:dyDescent="0.2">
      <c r="C379" s="6"/>
      <c r="F379" s="3"/>
      <c r="H379" s="3"/>
      <c r="J379" s="3"/>
      <c r="L379" s="3"/>
    </row>
    <row r="380" spans="3:12" ht="15.75" customHeight="1" x14ac:dyDescent="0.2">
      <c r="C380" s="6"/>
      <c r="F380" s="3"/>
      <c r="H380" s="3"/>
      <c r="J380" s="3"/>
      <c r="L380" s="3"/>
    </row>
    <row r="381" spans="3:12" ht="15.75" customHeight="1" x14ac:dyDescent="0.2">
      <c r="C381" s="6"/>
      <c r="F381" s="3"/>
      <c r="H381" s="3"/>
      <c r="J381" s="3"/>
      <c r="L381" s="3"/>
    </row>
    <row r="382" spans="3:12" ht="15.75" customHeight="1" x14ac:dyDescent="0.2">
      <c r="C382" s="6"/>
      <c r="F382" s="3"/>
      <c r="H382" s="3"/>
      <c r="J382" s="3"/>
      <c r="L382" s="3"/>
    </row>
    <row r="383" spans="3:12" ht="15.75" customHeight="1" x14ac:dyDescent="0.2">
      <c r="C383" s="6"/>
      <c r="F383" s="3"/>
      <c r="H383" s="3"/>
      <c r="J383" s="3"/>
      <c r="L383" s="3"/>
    </row>
    <row r="384" spans="3:12" ht="15.75" customHeight="1" x14ac:dyDescent="0.2">
      <c r="C384" s="6"/>
      <c r="F384" s="3"/>
      <c r="H384" s="3"/>
      <c r="J384" s="3"/>
      <c r="L384" s="3"/>
    </row>
    <row r="385" spans="3:12" ht="15.75" customHeight="1" x14ac:dyDescent="0.2">
      <c r="C385" s="6"/>
      <c r="F385" s="3"/>
      <c r="H385" s="3"/>
      <c r="J385" s="3"/>
      <c r="L385" s="3"/>
    </row>
    <row r="386" spans="3:12" ht="15.75" customHeight="1" x14ac:dyDescent="0.2">
      <c r="C386" s="6"/>
      <c r="F386" s="3"/>
      <c r="H386" s="3"/>
      <c r="J386" s="3"/>
      <c r="L386" s="3"/>
    </row>
    <row r="387" spans="3:12" ht="15.75" customHeight="1" x14ac:dyDescent="0.2">
      <c r="C387" s="6"/>
      <c r="F387" s="3"/>
      <c r="H387" s="3"/>
      <c r="J387" s="3"/>
      <c r="L387" s="3"/>
    </row>
    <row r="388" spans="3:12" ht="15.75" customHeight="1" x14ac:dyDescent="0.2">
      <c r="C388" s="6"/>
      <c r="F388" s="3"/>
      <c r="H388" s="3"/>
      <c r="J388" s="3"/>
      <c r="L388" s="3"/>
    </row>
    <row r="389" spans="3:12" ht="15.75" customHeight="1" x14ac:dyDescent="0.2">
      <c r="C389" s="6"/>
      <c r="F389" s="3"/>
      <c r="H389" s="3"/>
      <c r="J389" s="3"/>
      <c r="L389" s="3"/>
    </row>
    <row r="390" spans="3:12" ht="15.75" customHeight="1" x14ac:dyDescent="0.2">
      <c r="C390" s="6"/>
      <c r="F390" s="3"/>
      <c r="H390" s="3"/>
      <c r="J390" s="3"/>
      <c r="L390" s="3"/>
    </row>
    <row r="391" spans="3:12" ht="15.75" customHeight="1" x14ac:dyDescent="0.2">
      <c r="C391" s="6"/>
      <c r="F391" s="3"/>
      <c r="H391" s="3"/>
      <c r="J391" s="3"/>
      <c r="L391" s="3"/>
    </row>
    <row r="392" spans="3:12" ht="15.75" customHeight="1" x14ac:dyDescent="0.2">
      <c r="C392" s="6"/>
      <c r="F392" s="3"/>
      <c r="H392" s="3"/>
      <c r="J392" s="3"/>
      <c r="L392" s="3"/>
    </row>
    <row r="393" spans="3:12" ht="15.75" customHeight="1" x14ac:dyDescent="0.2">
      <c r="C393" s="6"/>
      <c r="F393" s="3"/>
      <c r="H393" s="3"/>
      <c r="J393" s="3"/>
      <c r="L393" s="3"/>
    </row>
    <row r="394" spans="3:12" ht="15.75" customHeight="1" x14ac:dyDescent="0.2">
      <c r="C394" s="6"/>
      <c r="F394" s="3"/>
      <c r="H394" s="3"/>
      <c r="J394" s="3"/>
      <c r="L394" s="3"/>
    </row>
    <row r="395" spans="3:12" ht="15.75" customHeight="1" x14ac:dyDescent="0.2">
      <c r="C395" s="6"/>
      <c r="F395" s="3"/>
      <c r="H395" s="3"/>
      <c r="J395" s="3"/>
      <c r="L395" s="3"/>
    </row>
    <row r="396" spans="3:12" ht="15.75" customHeight="1" x14ac:dyDescent="0.2">
      <c r="C396" s="6"/>
      <c r="F396" s="3"/>
      <c r="H396" s="3"/>
      <c r="J396" s="3"/>
      <c r="L396" s="3"/>
    </row>
    <row r="397" spans="3:12" ht="15.75" customHeight="1" x14ac:dyDescent="0.2">
      <c r="C397" s="6"/>
      <c r="F397" s="3"/>
      <c r="H397" s="3"/>
      <c r="J397" s="3"/>
      <c r="L397" s="3"/>
    </row>
    <row r="398" spans="3:12" ht="15.75" customHeight="1" x14ac:dyDescent="0.2">
      <c r="C398" s="6"/>
      <c r="F398" s="3"/>
      <c r="H398" s="3"/>
      <c r="J398" s="3"/>
      <c r="L398" s="3"/>
    </row>
    <row r="399" spans="3:12" ht="15.75" customHeight="1" x14ac:dyDescent="0.2">
      <c r="C399" s="6"/>
      <c r="F399" s="3"/>
      <c r="H399" s="3"/>
      <c r="J399" s="3"/>
      <c r="L399" s="3"/>
    </row>
    <row r="400" spans="3:12" ht="15.75" customHeight="1" x14ac:dyDescent="0.2">
      <c r="C400" s="6"/>
      <c r="F400" s="3"/>
      <c r="H400" s="3"/>
      <c r="J400" s="3"/>
      <c r="L400" s="3"/>
    </row>
    <row r="401" spans="3:12" ht="15.75" customHeight="1" x14ac:dyDescent="0.2">
      <c r="C401" s="6"/>
      <c r="F401" s="3"/>
      <c r="H401" s="3"/>
      <c r="J401" s="3"/>
      <c r="L401" s="3"/>
    </row>
    <row r="402" spans="3:12" ht="15.75" customHeight="1" x14ac:dyDescent="0.2">
      <c r="C402" s="6"/>
      <c r="F402" s="3"/>
      <c r="H402" s="3"/>
      <c r="J402" s="3"/>
      <c r="L402" s="3"/>
    </row>
    <row r="403" spans="3:12" ht="15.75" customHeight="1" x14ac:dyDescent="0.2">
      <c r="C403" s="6"/>
      <c r="F403" s="3"/>
      <c r="H403" s="3"/>
      <c r="J403" s="3"/>
      <c r="L403" s="3"/>
    </row>
    <row r="404" spans="3:12" ht="15.75" customHeight="1" x14ac:dyDescent="0.2">
      <c r="C404" s="6"/>
      <c r="F404" s="3"/>
      <c r="H404" s="3"/>
      <c r="J404" s="3"/>
      <c r="L404" s="3"/>
    </row>
    <row r="405" spans="3:12" ht="15.75" customHeight="1" x14ac:dyDescent="0.2">
      <c r="C405" s="6"/>
      <c r="F405" s="3"/>
      <c r="H405" s="3"/>
      <c r="J405" s="3"/>
      <c r="L405" s="3"/>
    </row>
    <row r="406" spans="3:12" ht="15.75" customHeight="1" x14ac:dyDescent="0.2">
      <c r="C406" s="6"/>
      <c r="F406" s="3"/>
      <c r="H406" s="3"/>
      <c r="J406" s="3"/>
      <c r="L406" s="3"/>
    </row>
    <row r="407" spans="3:12" ht="15.75" customHeight="1" x14ac:dyDescent="0.2">
      <c r="C407" s="6"/>
      <c r="F407" s="3"/>
      <c r="H407" s="3"/>
      <c r="J407" s="3"/>
      <c r="L407" s="3"/>
    </row>
    <row r="408" spans="3:12" ht="15.75" customHeight="1" x14ac:dyDescent="0.2">
      <c r="C408" s="6"/>
      <c r="F408" s="3"/>
      <c r="H408" s="3"/>
      <c r="J408" s="3"/>
      <c r="L408" s="3"/>
    </row>
    <row r="409" spans="3:12" ht="15.75" customHeight="1" x14ac:dyDescent="0.2">
      <c r="C409" s="6"/>
      <c r="F409" s="3"/>
      <c r="H409" s="3"/>
      <c r="J409" s="3"/>
      <c r="L409" s="3"/>
    </row>
    <row r="410" spans="3:12" ht="15.75" customHeight="1" x14ac:dyDescent="0.2">
      <c r="C410" s="6"/>
      <c r="F410" s="3"/>
      <c r="H410" s="3"/>
      <c r="J410" s="3"/>
      <c r="L410" s="3"/>
    </row>
    <row r="411" spans="3:12" ht="15.75" customHeight="1" x14ac:dyDescent="0.2">
      <c r="C411" s="6"/>
      <c r="F411" s="3"/>
      <c r="H411" s="3"/>
      <c r="J411" s="3"/>
      <c r="L411" s="3"/>
    </row>
    <row r="412" spans="3:12" ht="15.75" customHeight="1" x14ac:dyDescent="0.2">
      <c r="C412" s="6"/>
      <c r="F412" s="3"/>
      <c r="H412" s="3"/>
      <c r="J412" s="3"/>
      <c r="L412" s="3"/>
    </row>
    <row r="413" spans="3:12" ht="15.75" customHeight="1" x14ac:dyDescent="0.2">
      <c r="C413" s="6"/>
      <c r="F413" s="3"/>
      <c r="H413" s="3"/>
      <c r="J413" s="3"/>
      <c r="L413" s="3"/>
    </row>
    <row r="414" spans="3:12" ht="15.75" customHeight="1" x14ac:dyDescent="0.2">
      <c r="C414" s="6"/>
      <c r="F414" s="3"/>
      <c r="H414" s="3"/>
      <c r="J414" s="3"/>
      <c r="L414" s="3"/>
    </row>
    <row r="415" spans="3:12" ht="15.75" customHeight="1" x14ac:dyDescent="0.2">
      <c r="C415" s="6"/>
      <c r="F415" s="3"/>
      <c r="H415" s="3"/>
      <c r="J415" s="3"/>
      <c r="L415" s="3"/>
    </row>
    <row r="416" spans="3:12" ht="15.75" customHeight="1" x14ac:dyDescent="0.2">
      <c r="C416" s="6"/>
      <c r="F416" s="3"/>
      <c r="H416" s="3"/>
      <c r="J416" s="3"/>
      <c r="L416" s="3"/>
    </row>
    <row r="417" spans="3:12" ht="15.75" customHeight="1" x14ac:dyDescent="0.2">
      <c r="C417" s="6"/>
      <c r="F417" s="3"/>
      <c r="H417" s="3"/>
      <c r="J417" s="3"/>
      <c r="L417" s="3"/>
    </row>
    <row r="418" spans="3:12" ht="15.75" customHeight="1" x14ac:dyDescent="0.2">
      <c r="C418" s="6"/>
      <c r="F418" s="3"/>
      <c r="H418" s="3"/>
      <c r="J418" s="3"/>
      <c r="L418" s="3"/>
    </row>
    <row r="419" spans="3:12" ht="15.75" customHeight="1" x14ac:dyDescent="0.2">
      <c r="C419" s="6"/>
      <c r="F419" s="3"/>
      <c r="H419" s="3"/>
      <c r="J419" s="3"/>
      <c r="L419" s="3"/>
    </row>
    <row r="420" spans="3:12" ht="15.75" customHeight="1" x14ac:dyDescent="0.2">
      <c r="C420" s="6"/>
      <c r="F420" s="3"/>
      <c r="H420" s="3"/>
      <c r="J420" s="3"/>
      <c r="L420" s="3"/>
    </row>
    <row r="421" spans="3:12" ht="15.75" customHeight="1" x14ac:dyDescent="0.2">
      <c r="C421" s="6"/>
      <c r="F421" s="3"/>
      <c r="H421" s="3"/>
      <c r="J421" s="3"/>
      <c r="L421" s="3"/>
    </row>
    <row r="422" spans="3:12" ht="15.75" customHeight="1" x14ac:dyDescent="0.2">
      <c r="C422" s="6"/>
      <c r="F422" s="3"/>
      <c r="H422" s="3"/>
      <c r="J422" s="3"/>
      <c r="L422" s="3"/>
    </row>
    <row r="423" spans="3:12" ht="15.75" customHeight="1" x14ac:dyDescent="0.2">
      <c r="C423" s="6"/>
      <c r="F423" s="3"/>
      <c r="H423" s="3"/>
      <c r="J423" s="3"/>
      <c r="L423" s="3"/>
    </row>
    <row r="424" spans="3:12" ht="15.75" customHeight="1" x14ac:dyDescent="0.2">
      <c r="C424" s="6"/>
      <c r="F424" s="3"/>
      <c r="H424" s="3"/>
      <c r="J424" s="3"/>
      <c r="L424" s="3"/>
    </row>
    <row r="425" spans="3:12" ht="15.75" customHeight="1" x14ac:dyDescent="0.2">
      <c r="C425" s="6"/>
      <c r="F425" s="3"/>
      <c r="H425" s="3"/>
      <c r="J425" s="3"/>
      <c r="L425" s="3"/>
    </row>
    <row r="426" spans="3:12" ht="15.75" customHeight="1" x14ac:dyDescent="0.2">
      <c r="C426" s="6"/>
      <c r="F426" s="3"/>
      <c r="H426" s="3"/>
      <c r="J426" s="3"/>
      <c r="L426" s="3"/>
    </row>
    <row r="427" spans="3:12" ht="15.75" customHeight="1" x14ac:dyDescent="0.2">
      <c r="C427" s="6"/>
      <c r="F427" s="3"/>
      <c r="H427" s="3"/>
      <c r="J427" s="3"/>
      <c r="L427" s="3"/>
    </row>
    <row r="428" spans="3:12" ht="15.75" customHeight="1" x14ac:dyDescent="0.2">
      <c r="C428" s="6"/>
      <c r="F428" s="3"/>
      <c r="H428" s="3"/>
      <c r="J428" s="3"/>
      <c r="L428" s="3"/>
    </row>
    <row r="429" spans="3:12" ht="15.75" customHeight="1" x14ac:dyDescent="0.2">
      <c r="C429" s="6"/>
      <c r="F429" s="3"/>
      <c r="H429" s="3"/>
      <c r="J429" s="3"/>
      <c r="L429" s="3"/>
    </row>
    <row r="430" spans="3:12" ht="15.75" customHeight="1" x14ac:dyDescent="0.2">
      <c r="C430" s="6"/>
      <c r="F430" s="3"/>
      <c r="H430" s="3"/>
      <c r="J430" s="3"/>
      <c r="L430" s="3"/>
    </row>
    <row r="431" spans="3:12" ht="15.75" customHeight="1" x14ac:dyDescent="0.2">
      <c r="C431" s="6"/>
      <c r="F431" s="3"/>
      <c r="H431" s="3"/>
      <c r="J431" s="3"/>
      <c r="L431" s="3"/>
    </row>
    <row r="432" spans="3:12" ht="15.75" customHeight="1" x14ac:dyDescent="0.2">
      <c r="C432" s="6"/>
      <c r="F432" s="3"/>
      <c r="H432" s="3"/>
      <c r="J432" s="3"/>
      <c r="L432" s="3"/>
    </row>
    <row r="433" spans="3:12" ht="15.75" customHeight="1" x14ac:dyDescent="0.2">
      <c r="C433" s="6"/>
      <c r="F433" s="3"/>
      <c r="H433" s="3"/>
      <c r="J433" s="3"/>
      <c r="L433" s="3"/>
    </row>
    <row r="434" spans="3:12" ht="15.75" customHeight="1" x14ac:dyDescent="0.2">
      <c r="C434" s="6"/>
      <c r="F434" s="3"/>
      <c r="H434" s="3"/>
      <c r="J434" s="3"/>
      <c r="L434" s="3"/>
    </row>
    <row r="435" spans="3:12" ht="15.75" customHeight="1" x14ac:dyDescent="0.2">
      <c r="C435" s="6"/>
      <c r="F435" s="3"/>
      <c r="H435" s="3"/>
      <c r="J435" s="3"/>
      <c r="L435" s="3"/>
    </row>
    <row r="436" spans="3:12" ht="15.75" customHeight="1" x14ac:dyDescent="0.2">
      <c r="C436" s="6"/>
      <c r="F436" s="3"/>
      <c r="H436" s="3"/>
      <c r="J436" s="3"/>
      <c r="L436" s="3"/>
    </row>
    <row r="437" spans="3:12" ht="15.75" customHeight="1" x14ac:dyDescent="0.2">
      <c r="C437" s="6"/>
      <c r="F437" s="3"/>
      <c r="H437" s="3"/>
      <c r="J437" s="3"/>
      <c r="L437" s="3"/>
    </row>
    <row r="438" spans="3:12" ht="15.75" customHeight="1" x14ac:dyDescent="0.2">
      <c r="C438" s="6"/>
      <c r="F438" s="3"/>
      <c r="H438" s="3"/>
      <c r="J438" s="3"/>
      <c r="L438" s="3"/>
    </row>
    <row r="439" spans="3:12" ht="15.75" customHeight="1" x14ac:dyDescent="0.2">
      <c r="C439" s="6"/>
      <c r="F439" s="3"/>
      <c r="H439" s="3"/>
      <c r="J439" s="3"/>
      <c r="L439" s="3"/>
    </row>
    <row r="440" spans="3:12" ht="15.75" customHeight="1" x14ac:dyDescent="0.2">
      <c r="C440" s="6"/>
      <c r="F440" s="3"/>
      <c r="H440" s="3"/>
      <c r="J440" s="3"/>
      <c r="L440" s="3"/>
    </row>
    <row r="441" spans="3:12" ht="15.75" customHeight="1" x14ac:dyDescent="0.2">
      <c r="C441" s="6"/>
      <c r="F441" s="3"/>
      <c r="H441" s="3"/>
      <c r="J441" s="3"/>
      <c r="L441" s="3"/>
    </row>
    <row r="442" spans="3:12" ht="15.75" customHeight="1" x14ac:dyDescent="0.2">
      <c r="C442" s="6"/>
      <c r="F442" s="3"/>
      <c r="H442" s="3"/>
      <c r="J442" s="3"/>
      <c r="L442" s="3"/>
    </row>
    <row r="443" spans="3:12" ht="15.75" customHeight="1" x14ac:dyDescent="0.2">
      <c r="C443" s="6"/>
      <c r="F443" s="3"/>
      <c r="H443" s="3"/>
      <c r="J443" s="3"/>
      <c r="L443" s="3"/>
    </row>
    <row r="444" spans="3:12" ht="15.75" customHeight="1" x14ac:dyDescent="0.2">
      <c r="C444" s="6"/>
      <c r="F444" s="3"/>
      <c r="H444" s="3"/>
      <c r="J444" s="3"/>
      <c r="L444" s="3"/>
    </row>
    <row r="445" spans="3:12" ht="15.75" customHeight="1" x14ac:dyDescent="0.2">
      <c r="C445" s="6"/>
      <c r="F445" s="3"/>
      <c r="H445" s="3"/>
      <c r="J445" s="3"/>
      <c r="L445" s="3"/>
    </row>
    <row r="446" spans="3:12" ht="15.75" customHeight="1" x14ac:dyDescent="0.2">
      <c r="C446" s="6"/>
      <c r="F446" s="3"/>
      <c r="H446" s="3"/>
      <c r="J446" s="3"/>
      <c r="L446" s="3"/>
    </row>
    <row r="447" spans="3:12" ht="15.75" customHeight="1" x14ac:dyDescent="0.2">
      <c r="C447" s="6"/>
      <c r="F447" s="3"/>
      <c r="H447" s="3"/>
      <c r="J447" s="3"/>
      <c r="L447" s="3"/>
    </row>
    <row r="448" spans="3:12" ht="15.75" customHeight="1" x14ac:dyDescent="0.2">
      <c r="C448" s="6"/>
      <c r="F448" s="3"/>
      <c r="H448" s="3"/>
      <c r="J448" s="3"/>
      <c r="L448" s="3"/>
    </row>
    <row r="449" spans="3:12" ht="15.75" customHeight="1" x14ac:dyDescent="0.2">
      <c r="C449" s="6"/>
      <c r="F449" s="3"/>
      <c r="H449" s="3"/>
      <c r="J449" s="3"/>
      <c r="L449" s="3"/>
    </row>
    <row r="450" spans="3:12" ht="15.75" customHeight="1" x14ac:dyDescent="0.2">
      <c r="C450" s="6"/>
      <c r="F450" s="3"/>
      <c r="H450" s="3"/>
      <c r="J450" s="3"/>
      <c r="L450" s="3"/>
    </row>
    <row r="451" spans="3:12" ht="15.75" customHeight="1" x14ac:dyDescent="0.2">
      <c r="C451" s="6"/>
      <c r="F451" s="3"/>
      <c r="H451" s="3"/>
      <c r="J451" s="3"/>
      <c r="L451" s="3"/>
    </row>
    <row r="452" spans="3:12" ht="15.75" customHeight="1" x14ac:dyDescent="0.2">
      <c r="C452" s="6"/>
      <c r="F452" s="3"/>
      <c r="H452" s="3"/>
      <c r="J452" s="3"/>
      <c r="L452" s="3"/>
    </row>
    <row r="453" spans="3:12" ht="15.75" customHeight="1" x14ac:dyDescent="0.2">
      <c r="C453" s="6"/>
      <c r="F453" s="3"/>
      <c r="H453" s="3"/>
      <c r="J453" s="3"/>
      <c r="L453" s="3"/>
    </row>
    <row r="454" spans="3:12" ht="15.75" customHeight="1" x14ac:dyDescent="0.2">
      <c r="C454" s="6"/>
      <c r="F454" s="3"/>
      <c r="H454" s="3"/>
      <c r="J454" s="3"/>
      <c r="L454" s="3"/>
    </row>
    <row r="455" spans="3:12" ht="15.75" customHeight="1" x14ac:dyDescent="0.2">
      <c r="C455" s="6"/>
      <c r="F455" s="3"/>
      <c r="H455" s="3"/>
      <c r="J455" s="3"/>
      <c r="L455" s="3"/>
    </row>
    <row r="456" spans="3:12" ht="15.75" customHeight="1" x14ac:dyDescent="0.2">
      <c r="C456" s="6"/>
      <c r="F456" s="3"/>
      <c r="H456" s="3"/>
      <c r="J456" s="3"/>
      <c r="L456" s="3"/>
    </row>
    <row r="457" spans="3:12" ht="15.75" customHeight="1" x14ac:dyDescent="0.2">
      <c r="C457" s="6"/>
      <c r="F457" s="3"/>
      <c r="H457" s="3"/>
      <c r="J457" s="3"/>
      <c r="L457" s="3"/>
    </row>
    <row r="458" spans="3:12" ht="15.75" customHeight="1" x14ac:dyDescent="0.2">
      <c r="C458" s="6"/>
      <c r="F458" s="3"/>
      <c r="H458" s="3"/>
      <c r="J458" s="3"/>
      <c r="L458" s="3"/>
    </row>
    <row r="459" spans="3:12" ht="15.75" customHeight="1" x14ac:dyDescent="0.2">
      <c r="C459" s="6"/>
      <c r="F459" s="3"/>
      <c r="H459" s="3"/>
      <c r="J459" s="3"/>
      <c r="L459" s="3"/>
    </row>
    <row r="460" spans="3:12" ht="15.75" customHeight="1" x14ac:dyDescent="0.2">
      <c r="C460" s="6"/>
      <c r="F460" s="3"/>
      <c r="H460" s="3"/>
      <c r="J460" s="3"/>
      <c r="L460" s="3"/>
    </row>
    <row r="461" spans="3:12" ht="15.75" customHeight="1" x14ac:dyDescent="0.2">
      <c r="C461" s="6"/>
      <c r="F461" s="3"/>
      <c r="H461" s="3"/>
      <c r="J461" s="3"/>
      <c r="L461" s="3"/>
    </row>
    <row r="462" spans="3:12" ht="15.75" customHeight="1" x14ac:dyDescent="0.2">
      <c r="C462" s="6"/>
      <c r="F462" s="3"/>
      <c r="H462" s="3"/>
      <c r="J462" s="3"/>
      <c r="L462" s="3"/>
    </row>
    <row r="463" spans="3:12" ht="15.75" customHeight="1" x14ac:dyDescent="0.2">
      <c r="C463" s="6"/>
      <c r="F463" s="3"/>
      <c r="H463" s="3"/>
      <c r="J463" s="3"/>
      <c r="L463" s="3"/>
    </row>
    <row r="464" spans="3:12" ht="15.75" customHeight="1" x14ac:dyDescent="0.2">
      <c r="C464" s="6"/>
      <c r="F464" s="3"/>
      <c r="H464" s="3"/>
      <c r="J464" s="3"/>
      <c r="L464" s="3"/>
    </row>
    <row r="465" spans="3:12" ht="15.75" customHeight="1" x14ac:dyDescent="0.2">
      <c r="C465" s="6"/>
      <c r="F465" s="3"/>
      <c r="H465" s="3"/>
      <c r="J465" s="3"/>
      <c r="L465" s="3"/>
    </row>
    <row r="466" spans="3:12" ht="15.75" customHeight="1" x14ac:dyDescent="0.2">
      <c r="C466" s="6"/>
      <c r="F466" s="3"/>
      <c r="H466" s="3"/>
      <c r="J466" s="3"/>
      <c r="L466" s="3"/>
    </row>
    <row r="467" spans="3:12" ht="15.75" customHeight="1" x14ac:dyDescent="0.2">
      <c r="C467" s="6"/>
      <c r="F467" s="3"/>
      <c r="H467" s="3"/>
      <c r="J467" s="3"/>
      <c r="L467" s="3"/>
    </row>
    <row r="468" spans="3:12" ht="15.75" customHeight="1" x14ac:dyDescent="0.2">
      <c r="C468" s="6"/>
      <c r="F468" s="3"/>
      <c r="H468" s="3"/>
      <c r="J468" s="3"/>
      <c r="L468" s="3"/>
    </row>
    <row r="469" spans="3:12" ht="15.75" customHeight="1" x14ac:dyDescent="0.2">
      <c r="C469" s="6"/>
      <c r="F469" s="3"/>
      <c r="H469" s="3"/>
      <c r="J469" s="3"/>
      <c r="L469" s="3"/>
    </row>
    <row r="470" spans="3:12" ht="15.75" customHeight="1" x14ac:dyDescent="0.2">
      <c r="C470" s="6"/>
      <c r="F470" s="3"/>
      <c r="H470" s="3"/>
      <c r="J470" s="3"/>
      <c r="L470" s="3"/>
    </row>
    <row r="471" spans="3:12" ht="15.75" customHeight="1" x14ac:dyDescent="0.2">
      <c r="C471" s="6"/>
      <c r="F471" s="3"/>
      <c r="H471" s="3"/>
      <c r="J471" s="3"/>
      <c r="L471" s="3"/>
    </row>
    <row r="472" spans="3:12" ht="15.75" customHeight="1" x14ac:dyDescent="0.2">
      <c r="C472" s="6"/>
      <c r="F472" s="3"/>
      <c r="H472" s="3"/>
      <c r="J472" s="3"/>
      <c r="L472" s="3"/>
    </row>
    <row r="473" spans="3:12" ht="15.75" customHeight="1" x14ac:dyDescent="0.2">
      <c r="C473" s="6"/>
      <c r="F473" s="3"/>
      <c r="H473" s="3"/>
      <c r="J473" s="3"/>
      <c r="L473" s="3"/>
    </row>
    <row r="474" spans="3:12" ht="15.75" customHeight="1" x14ac:dyDescent="0.2">
      <c r="C474" s="6"/>
      <c r="F474" s="3"/>
      <c r="H474" s="3"/>
      <c r="J474" s="3"/>
      <c r="L474" s="3"/>
    </row>
    <row r="475" spans="3:12" ht="15.75" customHeight="1" x14ac:dyDescent="0.2">
      <c r="C475" s="6"/>
      <c r="F475" s="3"/>
      <c r="H475" s="3"/>
      <c r="J475" s="3"/>
      <c r="L475" s="3"/>
    </row>
    <row r="476" spans="3:12" ht="15.75" customHeight="1" x14ac:dyDescent="0.2">
      <c r="C476" s="6"/>
      <c r="F476" s="3"/>
      <c r="H476" s="3"/>
      <c r="J476" s="3"/>
      <c r="L476" s="3"/>
    </row>
    <row r="477" spans="3:12" ht="15.75" customHeight="1" x14ac:dyDescent="0.2">
      <c r="C477" s="6"/>
      <c r="F477" s="3"/>
      <c r="H477" s="3"/>
      <c r="J477" s="3"/>
      <c r="L477" s="3"/>
    </row>
    <row r="478" spans="3:12" ht="15.75" customHeight="1" x14ac:dyDescent="0.2">
      <c r="C478" s="6"/>
      <c r="F478" s="3"/>
      <c r="H478" s="3"/>
      <c r="J478" s="3"/>
      <c r="L478" s="3"/>
    </row>
    <row r="479" spans="3:12" ht="15.75" customHeight="1" x14ac:dyDescent="0.2">
      <c r="C479" s="6"/>
      <c r="F479" s="3"/>
      <c r="H479" s="3"/>
      <c r="J479" s="3"/>
      <c r="L479" s="3"/>
    </row>
    <row r="480" spans="3:12" ht="15.75" customHeight="1" x14ac:dyDescent="0.2">
      <c r="C480" s="6"/>
      <c r="F480" s="3"/>
      <c r="H480" s="3"/>
      <c r="J480" s="3"/>
      <c r="L480" s="3"/>
    </row>
    <row r="481" spans="3:12" ht="15.75" customHeight="1" x14ac:dyDescent="0.2">
      <c r="C481" s="6"/>
      <c r="F481" s="3"/>
      <c r="H481" s="3"/>
      <c r="J481" s="3"/>
      <c r="L481" s="3"/>
    </row>
    <row r="482" spans="3:12" ht="15.75" customHeight="1" x14ac:dyDescent="0.2">
      <c r="C482" s="6"/>
      <c r="F482" s="3"/>
      <c r="H482" s="3"/>
      <c r="J482" s="3"/>
      <c r="L482" s="3"/>
    </row>
    <row r="483" spans="3:12" ht="15.75" customHeight="1" x14ac:dyDescent="0.2">
      <c r="C483" s="6"/>
      <c r="F483" s="3"/>
      <c r="H483" s="3"/>
      <c r="J483" s="3"/>
      <c r="L483" s="3"/>
    </row>
    <row r="484" spans="3:12" ht="15.75" customHeight="1" x14ac:dyDescent="0.2">
      <c r="C484" s="6"/>
      <c r="F484" s="3"/>
      <c r="H484" s="3"/>
      <c r="J484" s="3"/>
      <c r="L484" s="3"/>
    </row>
    <row r="485" spans="3:12" ht="15.75" customHeight="1" x14ac:dyDescent="0.2">
      <c r="C485" s="6"/>
      <c r="F485" s="3"/>
      <c r="H485" s="3"/>
      <c r="J485" s="3"/>
      <c r="L485" s="3"/>
    </row>
    <row r="486" spans="3:12" ht="15.75" customHeight="1" x14ac:dyDescent="0.2">
      <c r="C486" s="6"/>
      <c r="F486" s="3"/>
      <c r="H486" s="3"/>
      <c r="J486" s="3"/>
      <c r="L486" s="3"/>
    </row>
    <row r="487" spans="3:12" ht="15.75" customHeight="1" x14ac:dyDescent="0.2">
      <c r="C487" s="6"/>
      <c r="F487" s="3"/>
      <c r="H487" s="3"/>
      <c r="J487" s="3"/>
      <c r="L487" s="3"/>
    </row>
    <row r="488" spans="3:12" ht="15.75" customHeight="1" x14ac:dyDescent="0.2">
      <c r="C488" s="6"/>
      <c r="F488" s="3"/>
      <c r="H488" s="3"/>
      <c r="J488" s="3"/>
      <c r="L488" s="3"/>
    </row>
    <row r="489" spans="3:12" ht="15.75" customHeight="1" x14ac:dyDescent="0.2">
      <c r="C489" s="6"/>
      <c r="F489" s="3"/>
      <c r="H489" s="3"/>
      <c r="J489" s="3"/>
      <c r="L489" s="3"/>
    </row>
    <row r="490" spans="3:12" ht="15.75" customHeight="1" x14ac:dyDescent="0.2">
      <c r="C490" s="6"/>
      <c r="F490" s="3"/>
      <c r="H490" s="3"/>
      <c r="J490" s="3"/>
      <c r="L490" s="3"/>
    </row>
    <row r="491" spans="3:12" ht="15.75" customHeight="1" x14ac:dyDescent="0.2">
      <c r="C491" s="6"/>
      <c r="F491" s="3"/>
      <c r="H491" s="3"/>
      <c r="J491" s="3"/>
      <c r="L491" s="3"/>
    </row>
    <row r="492" spans="3:12" ht="15.75" customHeight="1" x14ac:dyDescent="0.2">
      <c r="C492" s="6"/>
      <c r="F492" s="3"/>
      <c r="H492" s="3"/>
      <c r="J492" s="3"/>
      <c r="L492" s="3"/>
    </row>
    <row r="493" spans="3:12" ht="15.75" customHeight="1" x14ac:dyDescent="0.2">
      <c r="C493" s="6"/>
      <c r="F493" s="3"/>
      <c r="H493" s="3"/>
      <c r="J493" s="3"/>
      <c r="L493" s="3"/>
    </row>
    <row r="494" spans="3:12" ht="15.75" customHeight="1" x14ac:dyDescent="0.2">
      <c r="C494" s="6"/>
      <c r="F494" s="3"/>
      <c r="H494" s="3"/>
      <c r="J494" s="3"/>
      <c r="L494" s="3"/>
    </row>
    <row r="495" spans="3:12" ht="15.75" customHeight="1" x14ac:dyDescent="0.2">
      <c r="C495" s="6"/>
      <c r="F495" s="3"/>
      <c r="H495" s="3"/>
      <c r="J495" s="3"/>
      <c r="L495" s="3"/>
    </row>
    <row r="496" spans="3:12" ht="15.75" customHeight="1" x14ac:dyDescent="0.2">
      <c r="C496" s="6"/>
      <c r="F496" s="3"/>
      <c r="H496" s="3"/>
      <c r="J496" s="3"/>
      <c r="L496" s="3"/>
    </row>
    <row r="497" spans="3:12" ht="15.75" customHeight="1" x14ac:dyDescent="0.2">
      <c r="C497" s="6"/>
      <c r="F497" s="3"/>
      <c r="H497" s="3"/>
      <c r="J497" s="3"/>
      <c r="L497" s="3"/>
    </row>
    <row r="498" spans="3:12" ht="15.75" customHeight="1" x14ac:dyDescent="0.2">
      <c r="C498" s="6"/>
      <c r="F498" s="3"/>
      <c r="H498" s="3"/>
      <c r="J498" s="3"/>
      <c r="L498" s="3"/>
    </row>
    <row r="499" spans="3:12" ht="15.75" customHeight="1" x14ac:dyDescent="0.2">
      <c r="C499" s="6"/>
      <c r="F499" s="3"/>
      <c r="H499" s="3"/>
      <c r="J499" s="3"/>
      <c r="L499" s="3"/>
    </row>
    <row r="500" spans="3:12" ht="15.75" customHeight="1" x14ac:dyDescent="0.2">
      <c r="C500" s="6"/>
      <c r="F500" s="3"/>
      <c r="H500" s="3"/>
      <c r="J500" s="3"/>
      <c r="L500" s="3"/>
    </row>
    <row r="501" spans="3:12" ht="15.75" customHeight="1" x14ac:dyDescent="0.2">
      <c r="C501" s="6"/>
      <c r="F501" s="3"/>
      <c r="H501" s="3"/>
      <c r="J501" s="3"/>
      <c r="L501" s="3"/>
    </row>
    <row r="502" spans="3:12" ht="15.75" customHeight="1" x14ac:dyDescent="0.2">
      <c r="C502" s="6"/>
      <c r="F502" s="3"/>
      <c r="H502" s="3"/>
      <c r="J502" s="3"/>
      <c r="L502" s="3"/>
    </row>
    <row r="503" spans="3:12" ht="15.75" customHeight="1" x14ac:dyDescent="0.2">
      <c r="C503" s="6"/>
      <c r="F503" s="3"/>
      <c r="H503" s="3"/>
      <c r="J503" s="3"/>
      <c r="L503" s="3"/>
    </row>
    <row r="504" spans="3:12" ht="15.75" customHeight="1" x14ac:dyDescent="0.2">
      <c r="C504" s="6"/>
      <c r="F504" s="3"/>
      <c r="H504" s="3"/>
      <c r="J504" s="3"/>
      <c r="L504" s="3"/>
    </row>
    <row r="505" spans="3:12" ht="15.75" customHeight="1" x14ac:dyDescent="0.2">
      <c r="C505" s="6"/>
      <c r="F505" s="3"/>
      <c r="H505" s="3"/>
      <c r="J505" s="3"/>
      <c r="L505" s="3"/>
    </row>
    <row r="506" spans="3:12" ht="15.75" customHeight="1" x14ac:dyDescent="0.2">
      <c r="C506" s="6"/>
      <c r="F506" s="3"/>
      <c r="H506" s="3"/>
      <c r="J506" s="3"/>
      <c r="L506" s="3"/>
    </row>
    <row r="507" spans="3:12" ht="15.75" customHeight="1" x14ac:dyDescent="0.2">
      <c r="C507" s="6"/>
      <c r="F507" s="3"/>
      <c r="H507" s="3"/>
      <c r="J507" s="3"/>
      <c r="L507" s="3"/>
    </row>
    <row r="508" spans="3:12" ht="15.75" customHeight="1" x14ac:dyDescent="0.2">
      <c r="C508" s="6"/>
      <c r="F508" s="3"/>
      <c r="H508" s="3"/>
      <c r="J508" s="3"/>
      <c r="L508" s="3"/>
    </row>
    <row r="509" spans="3:12" ht="15.75" customHeight="1" x14ac:dyDescent="0.2">
      <c r="C509" s="6"/>
      <c r="F509" s="3"/>
      <c r="H509" s="3"/>
      <c r="J509" s="3"/>
      <c r="L509" s="3"/>
    </row>
    <row r="510" spans="3:12" ht="15.75" customHeight="1" x14ac:dyDescent="0.2">
      <c r="C510" s="6"/>
      <c r="F510" s="3"/>
      <c r="H510" s="3"/>
      <c r="J510" s="3"/>
      <c r="L510" s="3"/>
    </row>
    <row r="511" spans="3:12" ht="15.75" customHeight="1" x14ac:dyDescent="0.2">
      <c r="C511" s="6"/>
      <c r="F511" s="3"/>
      <c r="H511" s="3"/>
      <c r="J511" s="3"/>
      <c r="L511" s="3"/>
    </row>
    <row r="512" spans="3:12" ht="15.75" customHeight="1" x14ac:dyDescent="0.2">
      <c r="C512" s="6"/>
      <c r="F512" s="3"/>
      <c r="H512" s="3"/>
      <c r="J512" s="3"/>
      <c r="L512" s="3"/>
    </row>
    <row r="513" spans="3:12" ht="15.75" customHeight="1" x14ac:dyDescent="0.2">
      <c r="C513" s="6"/>
      <c r="F513" s="3"/>
      <c r="H513" s="3"/>
      <c r="J513" s="3"/>
      <c r="L513" s="3"/>
    </row>
    <row r="514" spans="3:12" ht="15.75" customHeight="1" x14ac:dyDescent="0.2">
      <c r="C514" s="6"/>
      <c r="F514" s="3"/>
      <c r="H514" s="3"/>
      <c r="J514" s="3"/>
      <c r="L514" s="3"/>
    </row>
    <row r="515" spans="3:12" ht="15.75" customHeight="1" x14ac:dyDescent="0.2">
      <c r="C515" s="6"/>
      <c r="F515" s="3"/>
      <c r="H515" s="3"/>
      <c r="J515" s="3"/>
      <c r="L515" s="3"/>
    </row>
    <row r="516" spans="3:12" ht="15.75" customHeight="1" x14ac:dyDescent="0.2">
      <c r="C516" s="6"/>
      <c r="F516" s="3"/>
      <c r="H516" s="3"/>
      <c r="J516" s="3"/>
      <c r="L516" s="3"/>
    </row>
    <row r="517" spans="3:12" ht="15.75" customHeight="1" x14ac:dyDescent="0.2">
      <c r="C517" s="6"/>
      <c r="F517" s="3"/>
      <c r="H517" s="3"/>
      <c r="J517" s="3"/>
      <c r="L517" s="3"/>
    </row>
    <row r="518" spans="3:12" ht="15.75" customHeight="1" x14ac:dyDescent="0.2">
      <c r="C518" s="6"/>
      <c r="F518" s="3"/>
      <c r="H518" s="3"/>
      <c r="J518" s="3"/>
      <c r="L518" s="3"/>
    </row>
    <row r="519" spans="3:12" ht="15.75" customHeight="1" x14ac:dyDescent="0.2">
      <c r="C519" s="6"/>
      <c r="F519" s="3"/>
      <c r="H519" s="3"/>
      <c r="J519" s="3"/>
      <c r="L519" s="3"/>
    </row>
    <row r="520" spans="3:12" ht="15.75" customHeight="1" x14ac:dyDescent="0.2">
      <c r="C520" s="6"/>
      <c r="F520" s="3"/>
      <c r="H520" s="3"/>
      <c r="J520" s="3"/>
      <c r="L520" s="3"/>
    </row>
    <row r="521" spans="3:12" ht="15.75" customHeight="1" x14ac:dyDescent="0.2">
      <c r="C521" s="6"/>
      <c r="F521" s="3"/>
      <c r="H521" s="3"/>
      <c r="J521" s="3"/>
      <c r="L521" s="3"/>
    </row>
    <row r="522" spans="3:12" ht="15.75" customHeight="1" x14ac:dyDescent="0.2">
      <c r="C522" s="6"/>
      <c r="F522" s="3"/>
      <c r="H522" s="3"/>
      <c r="J522" s="3"/>
      <c r="L522" s="3"/>
    </row>
    <row r="523" spans="3:12" ht="15.75" customHeight="1" x14ac:dyDescent="0.2">
      <c r="C523" s="6"/>
      <c r="F523" s="3"/>
      <c r="H523" s="3"/>
      <c r="J523" s="3"/>
      <c r="L523" s="3"/>
    </row>
    <row r="524" spans="3:12" ht="15.75" customHeight="1" x14ac:dyDescent="0.2">
      <c r="C524" s="6"/>
      <c r="F524" s="3"/>
      <c r="H524" s="3"/>
      <c r="J524" s="3"/>
      <c r="L524" s="3"/>
    </row>
    <row r="525" spans="3:12" ht="15.75" customHeight="1" x14ac:dyDescent="0.2">
      <c r="C525" s="6"/>
      <c r="F525" s="3"/>
      <c r="H525" s="3"/>
      <c r="J525" s="3"/>
      <c r="L525" s="3"/>
    </row>
    <row r="526" spans="3:12" ht="15.75" customHeight="1" x14ac:dyDescent="0.2">
      <c r="C526" s="6"/>
      <c r="F526" s="3"/>
      <c r="H526" s="3"/>
      <c r="J526" s="3"/>
      <c r="L526" s="3"/>
    </row>
    <row r="527" spans="3:12" ht="15.75" customHeight="1" x14ac:dyDescent="0.2">
      <c r="C527" s="6"/>
      <c r="F527" s="3"/>
      <c r="H527" s="3"/>
      <c r="J527" s="3"/>
      <c r="L527" s="3"/>
    </row>
    <row r="528" spans="3:12" ht="15.75" customHeight="1" x14ac:dyDescent="0.2">
      <c r="C528" s="6"/>
      <c r="F528" s="3"/>
      <c r="H528" s="3"/>
      <c r="J528" s="3"/>
      <c r="L528" s="3"/>
    </row>
    <row r="529" spans="3:12" ht="15.75" customHeight="1" x14ac:dyDescent="0.2">
      <c r="C529" s="6"/>
      <c r="F529" s="3"/>
      <c r="H529" s="3"/>
      <c r="J529" s="3"/>
      <c r="L529" s="3"/>
    </row>
    <row r="530" spans="3:12" ht="15.75" customHeight="1" x14ac:dyDescent="0.2">
      <c r="C530" s="6"/>
      <c r="F530" s="3"/>
      <c r="H530" s="3"/>
      <c r="J530" s="3"/>
      <c r="L530" s="3"/>
    </row>
    <row r="531" spans="3:12" ht="15.75" customHeight="1" x14ac:dyDescent="0.2">
      <c r="C531" s="6"/>
      <c r="F531" s="3"/>
      <c r="H531" s="3"/>
      <c r="J531" s="3"/>
      <c r="L531" s="3"/>
    </row>
    <row r="532" spans="3:12" ht="15.75" customHeight="1" x14ac:dyDescent="0.2">
      <c r="C532" s="6"/>
      <c r="F532" s="3"/>
      <c r="H532" s="3"/>
      <c r="J532" s="3"/>
      <c r="L532" s="3"/>
    </row>
    <row r="533" spans="3:12" ht="15.75" customHeight="1" x14ac:dyDescent="0.2">
      <c r="C533" s="6"/>
      <c r="F533" s="3"/>
      <c r="H533" s="3"/>
      <c r="J533" s="3"/>
      <c r="L533" s="3"/>
    </row>
    <row r="534" spans="3:12" ht="15.75" customHeight="1" x14ac:dyDescent="0.2">
      <c r="C534" s="6"/>
      <c r="F534" s="3"/>
      <c r="H534" s="3"/>
      <c r="J534" s="3"/>
      <c r="L534" s="3"/>
    </row>
    <row r="535" spans="3:12" ht="15.75" customHeight="1" x14ac:dyDescent="0.2">
      <c r="C535" s="6"/>
      <c r="F535" s="3"/>
      <c r="H535" s="3"/>
      <c r="J535" s="3"/>
      <c r="L535" s="3"/>
    </row>
    <row r="536" spans="3:12" ht="15.75" customHeight="1" x14ac:dyDescent="0.2">
      <c r="C536" s="6"/>
      <c r="F536" s="3"/>
      <c r="H536" s="3"/>
      <c r="J536" s="3"/>
      <c r="L536" s="3"/>
    </row>
    <row r="537" spans="3:12" ht="15.75" customHeight="1" x14ac:dyDescent="0.2">
      <c r="C537" s="6"/>
      <c r="F537" s="3"/>
      <c r="H537" s="3"/>
      <c r="J537" s="3"/>
      <c r="L537" s="3"/>
    </row>
    <row r="538" spans="3:12" ht="15.75" customHeight="1" x14ac:dyDescent="0.2">
      <c r="C538" s="6"/>
      <c r="F538" s="3"/>
      <c r="H538" s="3"/>
      <c r="J538" s="3"/>
      <c r="L538" s="3"/>
    </row>
    <row r="539" spans="3:12" ht="15.75" customHeight="1" x14ac:dyDescent="0.2">
      <c r="C539" s="6"/>
      <c r="F539" s="3"/>
      <c r="H539" s="3"/>
      <c r="J539" s="3"/>
      <c r="L539" s="3"/>
    </row>
    <row r="540" spans="3:12" ht="15.75" customHeight="1" x14ac:dyDescent="0.2">
      <c r="C540" s="6"/>
      <c r="F540" s="3"/>
      <c r="H540" s="3"/>
      <c r="J540" s="3"/>
      <c r="L540" s="3"/>
    </row>
    <row r="541" spans="3:12" ht="15.75" customHeight="1" x14ac:dyDescent="0.2">
      <c r="C541" s="6"/>
      <c r="F541" s="3"/>
      <c r="H541" s="3"/>
      <c r="J541" s="3"/>
      <c r="L541" s="3"/>
    </row>
    <row r="542" spans="3:12" ht="15.75" customHeight="1" x14ac:dyDescent="0.2">
      <c r="C542" s="6"/>
      <c r="F542" s="3"/>
      <c r="H542" s="3"/>
      <c r="J542" s="3"/>
      <c r="L542" s="3"/>
    </row>
    <row r="543" spans="3:12" ht="15.75" customHeight="1" x14ac:dyDescent="0.2">
      <c r="C543" s="6"/>
      <c r="F543" s="3"/>
      <c r="H543" s="3"/>
      <c r="J543" s="3"/>
      <c r="L543" s="3"/>
    </row>
    <row r="544" spans="3:12" ht="15.75" customHeight="1" x14ac:dyDescent="0.2">
      <c r="C544" s="6"/>
      <c r="F544" s="3"/>
      <c r="H544" s="3"/>
      <c r="J544" s="3"/>
      <c r="L544" s="3"/>
    </row>
    <row r="545" spans="3:12" ht="15.75" customHeight="1" x14ac:dyDescent="0.2">
      <c r="C545" s="6"/>
      <c r="F545" s="3"/>
      <c r="H545" s="3"/>
      <c r="J545" s="3"/>
      <c r="L545" s="3"/>
    </row>
    <row r="546" spans="3:12" ht="15.75" customHeight="1" x14ac:dyDescent="0.2">
      <c r="C546" s="6"/>
      <c r="F546" s="3"/>
      <c r="H546" s="3"/>
      <c r="J546" s="3"/>
      <c r="L546" s="3"/>
    </row>
    <row r="547" spans="3:12" ht="15.75" customHeight="1" x14ac:dyDescent="0.2">
      <c r="C547" s="6"/>
      <c r="F547" s="3"/>
      <c r="H547" s="3"/>
      <c r="J547" s="3"/>
      <c r="L547" s="3"/>
    </row>
    <row r="548" spans="3:12" ht="15.75" customHeight="1" x14ac:dyDescent="0.2">
      <c r="C548" s="6"/>
      <c r="F548" s="3"/>
      <c r="H548" s="3"/>
      <c r="J548" s="3"/>
      <c r="L548" s="3"/>
    </row>
    <row r="549" spans="3:12" ht="15.75" customHeight="1" x14ac:dyDescent="0.2">
      <c r="C549" s="6"/>
      <c r="F549" s="3"/>
      <c r="H549" s="3"/>
      <c r="J549" s="3"/>
      <c r="L549" s="3"/>
    </row>
    <row r="550" spans="3:12" ht="15.75" customHeight="1" x14ac:dyDescent="0.2">
      <c r="C550" s="6"/>
      <c r="F550" s="3"/>
      <c r="H550" s="3"/>
      <c r="J550" s="3"/>
      <c r="L550" s="3"/>
    </row>
    <row r="551" spans="3:12" ht="15.75" customHeight="1" x14ac:dyDescent="0.2">
      <c r="C551" s="6"/>
      <c r="F551" s="3"/>
      <c r="H551" s="3"/>
      <c r="J551" s="3"/>
      <c r="L551" s="3"/>
    </row>
    <row r="552" spans="3:12" ht="15.75" customHeight="1" x14ac:dyDescent="0.2">
      <c r="C552" s="6"/>
      <c r="F552" s="3"/>
      <c r="H552" s="3"/>
      <c r="J552" s="3"/>
      <c r="L552" s="3"/>
    </row>
    <row r="553" spans="3:12" ht="15.75" customHeight="1" x14ac:dyDescent="0.2">
      <c r="C553" s="6"/>
      <c r="F553" s="3"/>
      <c r="H553" s="3"/>
      <c r="J553" s="3"/>
      <c r="L553" s="3"/>
    </row>
    <row r="554" spans="3:12" ht="15.75" customHeight="1" x14ac:dyDescent="0.2">
      <c r="C554" s="6"/>
      <c r="F554" s="3"/>
      <c r="H554" s="3"/>
      <c r="J554" s="3"/>
      <c r="L554" s="3"/>
    </row>
    <row r="555" spans="3:12" ht="15.75" customHeight="1" x14ac:dyDescent="0.2">
      <c r="C555" s="6"/>
      <c r="F555" s="3"/>
      <c r="H555" s="3"/>
      <c r="J555" s="3"/>
      <c r="L555" s="3"/>
    </row>
    <row r="556" spans="3:12" ht="15.75" customHeight="1" x14ac:dyDescent="0.2">
      <c r="C556" s="6"/>
      <c r="F556" s="3"/>
      <c r="H556" s="3"/>
      <c r="J556" s="3"/>
      <c r="L556" s="3"/>
    </row>
    <row r="557" spans="3:12" ht="15.75" customHeight="1" x14ac:dyDescent="0.2">
      <c r="C557" s="6"/>
      <c r="F557" s="3"/>
      <c r="H557" s="3"/>
      <c r="J557" s="3"/>
      <c r="L557" s="3"/>
    </row>
    <row r="558" spans="3:12" ht="15.75" customHeight="1" x14ac:dyDescent="0.2">
      <c r="C558" s="6"/>
      <c r="F558" s="3"/>
      <c r="H558" s="3"/>
      <c r="J558" s="3"/>
      <c r="L558" s="3"/>
    </row>
    <row r="559" spans="3:12" ht="15.75" customHeight="1" x14ac:dyDescent="0.2">
      <c r="C559" s="6"/>
      <c r="F559" s="3"/>
      <c r="H559" s="3"/>
      <c r="J559" s="3"/>
      <c r="L559" s="3"/>
    </row>
    <row r="560" spans="3:12" ht="15.75" customHeight="1" x14ac:dyDescent="0.2">
      <c r="C560" s="6"/>
      <c r="F560" s="3"/>
      <c r="H560" s="3"/>
      <c r="J560" s="3"/>
      <c r="L560" s="3"/>
    </row>
    <row r="561" spans="3:12" ht="15.75" customHeight="1" x14ac:dyDescent="0.2">
      <c r="C561" s="6"/>
      <c r="F561" s="3"/>
      <c r="H561" s="3"/>
      <c r="J561" s="3"/>
      <c r="L561" s="3"/>
    </row>
    <row r="562" spans="3:12" ht="15.75" customHeight="1" x14ac:dyDescent="0.2">
      <c r="C562" s="6"/>
      <c r="F562" s="3"/>
      <c r="H562" s="3"/>
      <c r="J562" s="3"/>
      <c r="L562" s="3"/>
    </row>
    <row r="563" spans="3:12" ht="15.75" customHeight="1" x14ac:dyDescent="0.2">
      <c r="C563" s="6"/>
      <c r="F563" s="3"/>
      <c r="H563" s="3"/>
      <c r="J563" s="3"/>
      <c r="L563" s="3"/>
    </row>
    <row r="564" spans="3:12" ht="15.75" customHeight="1" x14ac:dyDescent="0.2">
      <c r="C564" s="6"/>
      <c r="F564" s="3"/>
      <c r="H564" s="3"/>
      <c r="J564" s="3"/>
      <c r="L564" s="3"/>
    </row>
    <row r="565" spans="3:12" ht="15.75" customHeight="1" x14ac:dyDescent="0.2">
      <c r="C565" s="6"/>
      <c r="F565" s="3"/>
      <c r="H565" s="3"/>
      <c r="J565" s="3"/>
      <c r="L565" s="3"/>
    </row>
    <row r="566" spans="3:12" ht="15.75" customHeight="1" x14ac:dyDescent="0.2">
      <c r="C566" s="6"/>
      <c r="F566" s="3"/>
      <c r="H566" s="3"/>
      <c r="J566" s="3"/>
      <c r="L566" s="3"/>
    </row>
    <row r="567" spans="3:12" ht="15.75" customHeight="1" x14ac:dyDescent="0.2">
      <c r="C567" s="6"/>
      <c r="F567" s="3"/>
      <c r="H567" s="3"/>
      <c r="J567" s="3"/>
      <c r="L567" s="3"/>
    </row>
    <row r="568" spans="3:12" ht="15.75" customHeight="1" x14ac:dyDescent="0.2">
      <c r="C568" s="6"/>
      <c r="F568" s="3"/>
      <c r="H568" s="3"/>
      <c r="J568" s="3"/>
      <c r="L568" s="3"/>
    </row>
    <row r="569" spans="3:12" ht="15.75" customHeight="1" x14ac:dyDescent="0.2">
      <c r="C569" s="6"/>
      <c r="F569" s="3"/>
      <c r="H569" s="3"/>
      <c r="J569" s="3"/>
      <c r="L569" s="3"/>
    </row>
    <row r="570" spans="3:12" ht="15.75" customHeight="1" x14ac:dyDescent="0.2">
      <c r="C570" s="6"/>
      <c r="F570" s="3"/>
      <c r="H570" s="3"/>
      <c r="J570" s="3"/>
      <c r="L570" s="3"/>
    </row>
    <row r="571" spans="3:12" ht="15.75" customHeight="1" x14ac:dyDescent="0.2">
      <c r="C571" s="6"/>
      <c r="F571" s="3"/>
      <c r="H571" s="3"/>
      <c r="J571" s="3"/>
      <c r="L571" s="3"/>
    </row>
    <row r="572" spans="3:12" ht="15.75" customHeight="1" x14ac:dyDescent="0.2">
      <c r="C572" s="6"/>
      <c r="F572" s="3"/>
      <c r="H572" s="3"/>
      <c r="J572" s="3"/>
      <c r="L572" s="3"/>
    </row>
    <row r="573" spans="3:12" ht="15.75" customHeight="1" x14ac:dyDescent="0.2">
      <c r="C573" s="6"/>
      <c r="F573" s="3"/>
      <c r="H573" s="3"/>
      <c r="J573" s="3"/>
      <c r="L573" s="3"/>
    </row>
    <row r="574" spans="3:12" ht="15.75" customHeight="1" x14ac:dyDescent="0.2">
      <c r="C574" s="6"/>
      <c r="F574" s="3"/>
      <c r="H574" s="3"/>
      <c r="J574" s="3"/>
      <c r="L574" s="3"/>
    </row>
    <row r="575" spans="3:12" ht="15.75" customHeight="1" x14ac:dyDescent="0.2">
      <c r="C575" s="6"/>
      <c r="F575" s="3"/>
      <c r="H575" s="3"/>
      <c r="J575" s="3"/>
      <c r="L575" s="3"/>
    </row>
    <row r="576" spans="3:12" ht="15.75" customHeight="1" x14ac:dyDescent="0.2">
      <c r="C576" s="6"/>
      <c r="F576" s="3"/>
      <c r="H576" s="3"/>
      <c r="J576" s="3"/>
      <c r="L576" s="3"/>
    </row>
    <row r="577" spans="3:12" ht="15.75" customHeight="1" x14ac:dyDescent="0.2">
      <c r="C577" s="6"/>
      <c r="F577" s="3"/>
      <c r="H577" s="3"/>
      <c r="J577" s="3"/>
      <c r="L577" s="3"/>
    </row>
    <row r="578" spans="3:12" ht="15.75" customHeight="1" x14ac:dyDescent="0.2">
      <c r="C578" s="6"/>
      <c r="F578" s="3"/>
      <c r="H578" s="3"/>
      <c r="J578" s="3"/>
      <c r="L578" s="3"/>
    </row>
    <row r="579" spans="3:12" ht="15.75" customHeight="1" x14ac:dyDescent="0.2">
      <c r="C579" s="6"/>
      <c r="F579" s="3"/>
      <c r="H579" s="3"/>
      <c r="J579" s="3"/>
      <c r="L579" s="3"/>
    </row>
    <row r="580" spans="3:12" ht="15.75" customHeight="1" x14ac:dyDescent="0.2">
      <c r="C580" s="6"/>
      <c r="F580" s="3"/>
      <c r="H580" s="3"/>
      <c r="J580" s="3"/>
      <c r="L580" s="3"/>
    </row>
    <row r="581" spans="3:12" ht="15.75" customHeight="1" x14ac:dyDescent="0.2">
      <c r="C581" s="6"/>
      <c r="F581" s="3"/>
      <c r="H581" s="3"/>
      <c r="J581" s="3"/>
      <c r="L581" s="3"/>
    </row>
    <row r="582" spans="3:12" ht="15.75" customHeight="1" x14ac:dyDescent="0.2">
      <c r="C582" s="6"/>
      <c r="F582" s="3"/>
      <c r="H582" s="3"/>
      <c r="J582" s="3"/>
      <c r="L582" s="3"/>
    </row>
    <row r="583" spans="3:12" ht="15.75" customHeight="1" x14ac:dyDescent="0.2">
      <c r="C583" s="6"/>
      <c r="F583" s="3"/>
      <c r="H583" s="3"/>
      <c r="J583" s="3"/>
      <c r="L583" s="3"/>
    </row>
    <row r="584" spans="3:12" ht="15.75" customHeight="1" x14ac:dyDescent="0.2">
      <c r="C584" s="6"/>
      <c r="F584" s="3"/>
      <c r="H584" s="3"/>
      <c r="J584" s="3"/>
      <c r="L584" s="3"/>
    </row>
    <row r="585" spans="3:12" ht="15.75" customHeight="1" x14ac:dyDescent="0.2">
      <c r="C585" s="6"/>
      <c r="F585" s="3"/>
      <c r="H585" s="3"/>
      <c r="J585" s="3"/>
      <c r="L585" s="3"/>
    </row>
    <row r="586" spans="3:12" ht="15.75" customHeight="1" x14ac:dyDescent="0.2">
      <c r="C586" s="6"/>
      <c r="F586" s="3"/>
      <c r="H586" s="3"/>
      <c r="J586" s="3"/>
      <c r="L586" s="3"/>
    </row>
    <row r="587" spans="3:12" ht="15.75" customHeight="1" x14ac:dyDescent="0.2">
      <c r="C587" s="6"/>
      <c r="F587" s="3"/>
      <c r="H587" s="3"/>
      <c r="J587" s="3"/>
      <c r="L587" s="3"/>
    </row>
    <row r="588" spans="3:12" ht="15.75" customHeight="1" x14ac:dyDescent="0.2">
      <c r="C588" s="6"/>
      <c r="F588" s="3"/>
      <c r="H588" s="3"/>
      <c r="J588" s="3"/>
      <c r="L588" s="3"/>
    </row>
    <row r="589" spans="3:12" ht="15.75" customHeight="1" x14ac:dyDescent="0.2">
      <c r="C589" s="6"/>
      <c r="F589" s="3"/>
      <c r="H589" s="3"/>
      <c r="J589" s="3"/>
      <c r="L589" s="3"/>
    </row>
    <row r="590" spans="3:12" ht="15.75" customHeight="1" x14ac:dyDescent="0.2">
      <c r="C590" s="6"/>
      <c r="F590" s="3"/>
      <c r="H590" s="3"/>
      <c r="J590" s="3"/>
      <c r="L590" s="3"/>
    </row>
    <row r="591" spans="3:12" ht="15.75" customHeight="1" x14ac:dyDescent="0.2">
      <c r="C591" s="6"/>
      <c r="F591" s="3"/>
      <c r="H591" s="3"/>
      <c r="J591" s="3"/>
      <c r="L591" s="3"/>
    </row>
    <row r="592" spans="3:12" ht="15.75" customHeight="1" x14ac:dyDescent="0.2">
      <c r="C592" s="6"/>
      <c r="F592" s="3"/>
      <c r="H592" s="3"/>
      <c r="J592" s="3"/>
      <c r="L592" s="3"/>
    </row>
    <row r="593" spans="3:12" ht="15.75" customHeight="1" x14ac:dyDescent="0.2">
      <c r="C593" s="6"/>
      <c r="F593" s="3"/>
      <c r="H593" s="3"/>
      <c r="J593" s="3"/>
      <c r="L593" s="3"/>
    </row>
    <row r="594" spans="3:12" ht="15.75" customHeight="1" x14ac:dyDescent="0.2">
      <c r="C594" s="6"/>
      <c r="F594" s="3"/>
      <c r="H594" s="3"/>
      <c r="J594" s="3"/>
      <c r="L594" s="3"/>
    </row>
    <row r="595" spans="3:12" ht="15.75" customHeight="1" x14ac:dyDescent="0.2">
      <c r="C595" s="6"/>
      <c r="F595" s="3"/>
      <c r="H595" s="3"/>
      <c r="J595" s="3"/>
      <c r="L595" s="3"/>
    </row>
    <row r="596" spans="3:12" ht="15.75" customHeight="1" x14ac:dyDescent="0.2">
      <c r="C596" s="6"/>
      <c r="F596" s="3"/>
      <c r="H596" s="3"/>
      <c r="J596" s="3"/>
      <c r="L596" s="3"/>
    </row>
    <row r="597" spans="3:12" ht="15.75" customHeight="1" x14ac:dyDescent="0.2">
      <c r="C597" s="6"/>
      <c r="F597" s="3"/>
      <c r="H597" s="3"/>
      <c r="J597" s="3"/>
      <c r="L597" s="3"/>
    </row>
    <row r="598" spans="3:12" ht="15.75" customHeight="1" x14ac:dyDescent="0.2">
      <c r="C598" s="6"/>
      <c r="F598" s="3"/>
      <c r="H598" s="3"/>
      <c r="J598" s="3"/>
      <c r="L598" s="3"/>
    </row>
    <row r="599" spans="3:12" ht="15.75" customHeight="1" x14ac:dyDescent="0.2">
      <c r="C599" s="6"/>
      <c r="F599" s="3"/>
      <c r="H599" s="3"/>
      <c r="J599" s="3"/>
      <c r="L599" s="3"/>
    </row>
    <row r="600" spans="3:12" ht="15.75" customHeight="1" x14ac:dyDescent="0.2">
      <c r="C600" s="6"/>
      <c r="F600" s="3"/>
      <c r="H600" s="3"/>
      <c r="J600" s="3"/>
      <c r="L600" s="3"/>
    </row>
    <row r="601" spans="3:12" ht="15.75" customHeight="1" x14ac:dyDescent="0.2">
      <c r="C601" s="6"/>
      <c r="F601" s="3"/>
      <c r="H601" s="3"/>
      <c r="J601" s="3"/>
      <c r="L601" s="3"/>
    </row>
    <row r="602" spans="3:12" ht="15.75" customHeight="1" x14ac:dyDescent="0.2">
      <c r="C602" s="6"/>
      <c r="F602" s="3"/>
      <c r="H602" s="3"/>
      <c r="J602" s="3"/>
      <c r="L602" s="3"/>
    </row>
    <row r="603" spans="3:12" ht="15.75" customHeight="1" x14ac:dyDescent="0.2">
      <c r="C603" s="6"/>
      <c r="F603" s="3"/>
      <c r="H603" s="3"/>
      <c r="J603" s="3"/>
      <c r="L603" s="3"/>
    </row>
    <row r="604" spans="3:12" ht="15.75" customHeight="1" x14ac:dyDescent="0.2">
      <c r="C604" s="6"/>
      <c r="F604" s="3"/>
      <c r="H604" s="3"/>
      <c r="J604" s="3"/>
      <c r="L604" s="3"/>
    </row>
    <row r="605" spans="3:12" ht="15.75" customHeight="1" x14ac:dyDescent="0.2">
      <c r="C605" s="6"/>
      <c r="F605" s="3"/>
      <c r="H605" s="3"/>
      <c r="J605" s="3"/>
      <c r="L605" s="3"/>
    </row>
    <row r="606" spans="3:12" ht="15.75" customHeight="1" x14ac:dyDescent="0.2">
      <c r="C606" s="6"/>
      <c r="F606" s="3"/>
      <c r="H606" s="3"/>
      <c r="J606" s="3"/>
      <c r="L606" s="3"/>
    </row>
    <row r="607" spans="3:12" ht="15.75" customHeight="1" x14ac:dyDescent="0.2">
      <c r="C607" s="6"/>
      <c r="F607" s="3"/>
      <c r="H607" s="3"/>
      <c r="J607" s="3"/>
      <c r="L607" s="3"/>
    </row>
    <row r="608" spans="3:12" ht="15.75" customHeight="1" x14ac:dyDescent="0.2">
      <c r="C608" s="6"/>
      <c r="F608" s="3"/>
      <c r="H608" s="3"/>
      <c r="J608" s="3"/>
      <c r="L608" s="3"/>
    </row>
    <row r="609" spans="3:12" ht="15.75" customHeight="1" x14ac:dyDescent="0.2">
      <c r="C609" s="6"/>
      <c r="F609" s="3"/>
      <c r="H609" s="3"/>
      <c r="J609" s="3"/>
      <c r="L609" s="3"/>
    </row>
    <row r="610" spans="3:12" ht="15.75" customHeight="1" x14ac:dyDescent="0.2">
      <c r="C610" s="6"/>
      <c r="F610" s="3"/>
      <c r="H610" s="3"/>
      <c r="J610" s="3"/>
      <c r="L610" s="3"/>
    </row>
    <row r="611" spans="3:12" ht="15.75" customHeight="1" x14ac:dyDescent="0.2">
      <c r="C611" s="6"/>
      <c r="F611" s="3"/>
      <c r="H611" s="3"/>
      <c r="J611" s="3"/>
      <c r="L611" s="3"/>
    </row>
    <row r="612" spans="3:12" ht="15.75" customHeight="1" x14ac:dyDescent="0.2">
      <c r="C612" s="6"/>
      <c r="F612" s="3"/>
      <c r="H612" s="3"/>
      <c r="J612" s="3"/>
      <c r="L612" s="3"/>
    </row>
    <row r="613" spans="3:12" ht="15.75" customHeight="1" x14ac:dyDescent="0.2">
      <c r="C613" s="6"/>
      <c r="F613" s="3"/>
      <c r="H613" s="3"/>
      <c r="J613" s="3"/>
      <c r="L613" s="3"/>
    </row>
    <row r="614" spans="3:12" ht="15.75" customHeight="1" x14ac:dyDescent="0.2">
      <c r="C614" s="6"/>
      <c r="F614" s="3"/>
      <c r="H614" s="3"/>
      <c r="J614" s="3"/>
      <c r="L614" s="3"/>
    </row>
    <row r="615" spans="3:12" ht="15.75" customHeight="1" x14ac:dyDescent="0.2">
      <c r="C615" s="6"/>
      <c r="F615" s="3"/>
      <c r="H615" s="3"/>
      <c r="J615" s="3"/>
      <c r="L615" s="3"/>
    </row>
    <row r="616" spans="3:12" ht="15.75" customHeight="1" x14ac:dyDescent="0.2">
      <c r="C616" s="6"/>
      <c r="F616" s="3"/>
      <c r="H616" s="3"/>
      <c r="J616" s="3"/>
      <c r="L616" s="3"/>
    </row>
    <row r="617" spans="3:12" ht="15.75" customHeight="1" x14ac:dyDescent="0.2">
      <c r="C617" s="6"/>
      <c r="F617" s="3"/>
      <c r="H617" s="3"/>
      <c r="J617" s="3"/>
      <c r="L617" s="3"/>
    </row>
    <row r="618" spans="3:12" ht="15.75" customHeight="1" x14ac:dyDescent="0.2">
      <c r="C618" s="6"/>
      <c r="F618" s="3"/>
      <c r="H618" s="3"/>
      <c r="J618" s="3"/>
      <c r="L618" s="3"/>
    </row>
    <row r="619" spans="3:12" ht="15.75" customHeight="1" x14ac:dyDescent="0.2">
      <c r="C619" s="6"/>
      <c r="F619" s="3"/>
      <c r="H619" s="3"/>
      <c r="J619" s="3"/>
      <c r="L619" s="3"/>
    </row>
    <row r="620" spans="3:12" ht="15.75" customHeight="1" x14ac:dyDescent="0.2">
      <c r="C620" s="6"/>
      <c r="F620" s="3"/>
      <c r="H620" s="3"/>
      <c r="J620" s="3"/>
      <c r="L620" s="3"/>
    </row>
    <row r="621" spans="3:12" ht="15.75" customHeight="1" x14ac:dyDescent="0.2">
      <c r="C621" s="6"/>
      <c r="F621" s="3"/>
      <c r="H621" s="3"/>
      <c r="J621" s="3"/>
      <c r="L621" s="3"/>
    </row>
    <row r="622" spans="3:12" ht="15.75" customHeight="1" x14ac:dyDescent="0.2">
      <c r="C622" s="6"/>
      <c r="F622" s="3"/>
      <c r="H622" s="3"/>
      <c r="J622" s="3"/>
      <c r="L622" s="3"/>
    </row>
    <row r="623" spans="3:12" ht="15.75" customHeight="1" x14ac:dyDescent="0.2">
      <c r="C623" s="6"/>
      <c r="F623" s="3"/>
      <c r="H623" s="3"/>
      <c r="J623" s="3"/>
      <c r="L623" s="3"/>
    </row>
    <row r="624" spans="3:12" ht="15.75" customHeight="1" x14ac:dyDescent="0.2">
      <c r="C624" s="6"/>
      <c r="F624" s="3"/>
      <c r="H624" s="3"/>
      <c r="J624" s="3"/>
      <c r="L624" s="3"/>
    </row>
    <row r="625" spans="3:12" ht="15.75" customHeight="1" x14ac:dyDescent="0.2">
      <c r="C625" s="6"/>
      <c r="F625" s="3"/>
      <c r="H625" s="3"/>
      <c r="J625" s="3"/>
      <c r="L625" s="3"/>
    </row>
    <row r="626" spans="3:12" ht="15.75" customHeight="1" x14ac:dyDescent="0.2">
      <c r="C626" s="6"/>
      <c r="F626" s="3"/>
      <c r="H626" s="3"/>
      <c r="J626" s="3"/>
      <c r="L626" s="3"/>
    </row>
    <row r="627" spans="3:12" ht="15.75" customHeight="1" x14ac:dyDescent="0.2">
      <c r="C627" s="6"/>
      <c r="F627" s="3"/>
      <c r="H627" s="3"/>
      <c r="J627" s="3"/>
      <c r="L627" s="3"/>
    </row>
    <row r="628" spans="3:12" ht="15.75" customHeight="1" x14ac:dyDescent="0.2">
      <c r="C628" s="6"/>
      <c r="F628" s="3"/>
      <c r="H628" s="3"/>
      <c r="J628" s="3"/>
      <c r="L628" s="3"/>
    </row>
    <row r="629" spans="3:12" ht="15.75" customHeight="1" x14ac:dyDescent="0.2">
      <c r="C629" s="6"/>
      <c r="F629" s="3"/>
      <c r="H629" s="3"/>
      <c r="J629" s="3"/>
      <c r="L629" s="3"/>
    </row>
    <row r="630" spans="3:12" ht="15.75" customHeight="1" x14ac:dyDescent="0.2">
      <c r="C630" s="6"/>
      <c r="F630" s="3"/>
      <c r="H630" s="3"/>
      <c r="J630" s="3"/>
      <c r="L630" s="3"/>
    </row>
    <row r="631" spans="3:12" ht="15.75" customHeight="1" x14ac:dyDescent="0.2">
      <c r="C631" s="6"/>
      <c r="F631" s="3"/>
      <c r="H631" s="3"/>
      <c r="J631" s="3"/>
      <c r="L631" s="3"/>
    </row>
    <row r="632" spans="3:12" ht="15.75" customHeight="1" x14ac:dyDescent="0.2">
      <c r="C632" s="6"/>
      <c r="F632" s="3"/>
      <c r="H632" s="3"/>
      <c r="J632" s="3"/>
      <c r="L632" s="3"/>
    </row>
    <row r="633" spans="3:12" ht="15.75" customHeight="1" x14ac:dyDescent="0.2">
      <c r="C633" s="6"/>
      <c r="F633" s="3"/>
      <c r="H633" s="3"/>
      <c r="J633" s="3"/>
      <c r="L633" s="3"/>
    </row>
    <row r="634" spans="3:12" ht="15.75" customHeight="1" x14ac:dyDescent="0.2">
      <c r="C634" s="6"/>
      <c r="F634" s="3"/>
      <c r="H634" s="3"/>
      <c r="J634" s="3"/>
      <c r="L634" s="3"/>
    </row>
    <row r="635" spans="3:12" ht="15.75" customHeight="1" x14ac:dyDescent="0.2">
      <c r="C635" s="6"/>
      <c r="F635" s="3"/>
      <c r="H635" s="3"/>
      <c r="J635" s="3"/>
      <c r="L635" s="3"/>
    </row>
    <row r="636" spans="3:12" ht="15.75" customHeight="1" x14ac:dyDescent="0.2">
      <c r="C636" s="6"/>
      <c r="F636" s="3"/>
      <c r="H636" s="3"/>
      <c r="J636" s="3"/>
      <c r="L636" s="3"/>
    </row>
    <row r="637" spans="3:12" ht="15.75" customHeight="1" x14ac:dyDescent="0.2">
      <c r="C637" s="6"/>
      <c r="F637" s="3"/>
      <c r="H637" s="3"/>
      <c r="J637" s="3"/>
      <c r="L637" s="3"/>
    </row>
    <row r="638" spans="3:12" ht="15.75" customHeight="1" x14ac:dyDescent="0.2">
      <c r="C638" s="6"/>
      <c r="F638" s="3"/>
      <c r="H638" s="3"/>
      <c r="J638" s="3"/>
      <c r="L638" s="3"/>
    </row>
    <row r="639" spans="3:12" ht="15.75" customHeight="1" x14ac:dyDescent="0.2">
      <c r="C639" s="6"/>
      <c r="F639" s="3"/>
      <c r="H639" s="3"/>
      <c r="J639" s="3"/>
      <c r="L639" s="3"/>
    </row>
    <row r="640" spans="3:12" ht="15.75" customHeight="1" x14ac:dyDescent="0.2">
      <c r="C640" s="6"/>
      <c r="F640" s="3"/>
      <c r="H640" s="3"/>
      <c r="J640" s="3"/>
      <c r="L640" s="3"/>
    </row>
    <row r="641" spans="3:12" ht="15.75" customHeight="1" x14ac:dyDescent="0.2">
      <c r="C641" s="6"/>
      <c r="F641" s="3"/>
      <c r="H641" s="3"/>
      <c r="J641" s="3"/>
      <c r="L641" s="3"/>
    </row>
    <row r="642" spans="3:12" ht="15.75" customHeight="1" x14ac:dyDescent="0.2">
      <c r="C642" s="6"/>
      <c r="F642" s="3"/>
      <c r="H642" s="3"/>
      <c r="J642" s="3"/>
      <c r="L642" s="3"/>
    </row>
    <row r="643" spans="3:12" ht="15.75" customHeight="1" x14ac:dyDescent="0.2">
      <c r="C643" s="6"/>
      <c r="F643" s="3"/>
      <c r="H643" s="3"/>
      <c r="J643" s="3"/>
      <c r="L643" s="3"/>
    </row>
    <row r="644" spans="3:12" ht="15.75" customHeight="1" x14ac:dyDescent="0.2">
      <c r="C644" s="6"/>
      <c r="F644" s="3"/>
      <c r="H644" s="3"/>
      <c r="J644" s="3"/>
      <c r="L644" s="3"/>
    </row>
    <row r="645" spans="3:12" ht="15.75" customHeight="1" x14ac:dyDescent="0.2">
      <c r="C645" s="6"/>
      <c r="F645" s="3"/>
      <c r="H645" s="3"/>
      <c r="J645" s="3"/>
      <c r="L645" s="3"/>
    </row>
    <row r="646" spans="3:12" ht="15.75" customHeight="1" x14ac:dyDescent="0.2">
      <c r="C646" s="6"/>
      <c r="F646" s="3"/>
      <c r="H646" s="3"/>
      <c r="J646" s="3"/>
      <c r="L646" s="3"/>
    </row>
    <row r="647" spans="3:12" ht="15.75" customHeight="1" x14ac:dyDescent="0.2">
      <c r="C647" s="6"/>
      <c r="F647" s="3"/>
      <c r="H647" s="3"/>
      <c r="J647" s="3"/>
      <c r="L647" s="3"/>
    </row>
    <row r="648" spans="3:12" ht="15.75" customHeight="1" x14ac:dyDescent="0.2">
      <c r="C648" s="6"/>
      <c r="F648" s="3"/>
      <c r="H648" s="3"/>
      <c r="J648" s="3"/>
      <c r="L648" s="3"/>
    </row>
    <row r="649" spans="3:12" ht="15.75" customHeight="1" x14ac:dyDescent="0.2">
      <c r="C649" s="6"/>
      <c r="F649" s="3"/>
      <c r="H649" s="3"/>
      <c r="J649" s="3"/>
      <c r="L649" s="3"/>
    </row>
    <row r="650" spans="3:12" ht="15.75" customHeight="1" x14ac:dyDescent="0.2">
      <c r="C650" s="6"/>
      <c r="F650" s="3"/>
      <c r="H650" s="3"/>
      <c r="J650" s="3"/>
      <c r="L650" s="3"/>
    </row>
    <row r="651" spans="3:12" ht="15.75" customHeight="1" x14ac:dyDescent="0.2">
      <c r="C651" s="6"/>
      <c r="F651" s="3"/>
      <c r="H651" s="3"/>
      <c r="J651" s="3"/>
      <c r="L651" s="3"/>
    </row>
    <row r="652" spans="3:12" ht="15.75" customHeight="1" x14ac:dyDescent="0.2">
      <c r="C652" s="6"/>
      <c r="F652" s="3"/>
      <c r="H652" s="3"/>
      <c r="J652" s="3"/>
      <c r="L652" s="3"/>
    </row>
    <row r="653" spans="3:12" ht="15.75" customHeight="1" x14ac:dyDescent="0.2">
      <c r="C653" s="6"/>
      <c r="F653" s="3"/>
      <c r="H653" s="3"/>
      <c r="J653" s="3"/>
      <c r="L653" s="3"/>
    </row>
    <row r="654" spans="3:12" ht="15.75" customHeight="1" x14ac:dyDescent="0.2">
      <c r="C654" s="6"/>
      <c r="F654" s="3"/>
      <c r="H654" s="3"/>
      <c r="J654" s="3"/>
      <c r="L654" s="3"/>
    </row>
    <row r="655" spans="3:12" ht="15.75" customHeight="1" x14ac:dyDescent="0.2">
      <c r="C655" s="6"/>
      <c r="F655" s="3"/>
      <c r="H655" s="3"/>
      <c r="J655" s="3"/>
      <c r="L655" s="3"/>
    </row>
    <row r="656" spans="3:12" ht="15.75" customHeight="1" x14ac:dyDescent="0.2">
      <c r="C656" s="6"/>
      <c r="F656" s="3"/>
      <c r="H656" s="3"/>
      <c r="J656" s="3"/>
      <c r="L656" s="3"/>
    </row>
    <row r="657" spans="3:12" ht="15.75" customHeight="1" x14ac:dyDescent="0.2">
      <c r="C657" s="6"/>
      <c r="F657" s="3"/>
      <c r="H657" s="3"/>
      <c r="J657" s="3"/>
      <c r="L657" s="3"/>
    </row>
    <row r="658" spans="3:12" ht="15.75" customHeight="1" x14ac:dyDescent="0.2">
      <c r="C658" s="6"/>
      <c r="F658" s="3"/>
      <c r="H658" s="3"/>
      <c r="J658" s="3"/>
      <c r="L658" s="3"/>
    </row>
    <row r="659" spans="3:12" ht="15.75" customHeight="1" x14ac:dyDescent="0.2">
      <c r="C659" s="6"/>
      <c r="F659" s="3"/>
      <c r="H659" s="3"/>
      <c r="J659" s="3"/>
      <c r="L659" s="3"/>
    </row>
    <row r="660" spans="3:12" ht="15.75" customHeight="1" x14ac:dyDescent="0.2">
      <c r="C660" s="6"/>
      <c r="F660" s="3"/>
      <c r="H660" s="3"/>
      <c r="J660" s="3"/>
      <c r="L660" s="3"/>
    </row>
    <row r="661" spans="3:12" ht="15.75" customHeight="1" x14ac:dyDescent="0.2">
      <c r="C661" s="6"/>
      <c r="F661" s="3"/>
      <c r="H661" s="3"/>
      <c r="J661" s="3"/>
      <c r="L661" s="3"/>
    </row>
    <row r="662" spans="3:12" ht="15.75" customHeight="1" x14ac:dyDescent="0.2">
      <c r="C662" s="6"/>
      <c r="F662" s="3"/>
      <c r="H662" s="3"/>
      <c r="J662" s="3"/>
      <c r="L662" s="3"/>
    </row>
    <row r="663" spans="3:12" ht="15.75" customHeight="1" x14ac:dyDescent="0.2">
      <c r="C663" s="6"/>
      <c r="F663" s="3"/>
      <c r="H663" s="3"/>
      <c r="J663" s="3"/>
      <c r="L663" s="3"/>
    </row>
    <row r="664" spans="3:12" ht="15.75" customHeight="1" x14ac:dyDescent="0.2">
      <c r="C664" s="6"/>
      <c r="F664" s="3"/>
      <c r="H664" s="3"/>
      <c r="J664" s="3"/>
      <c r="L664" s="3"/>
    </row>
    <row r="665" spans="3:12" ht="15.75" customHeight="1" x14ac:dyDescent="0.2">
      <c r="C665" s="6"/>
      <c r="F665" s="3"/>
      <c r="H665" s="3"/>
      <c r="J665" s="3"/>
      <c r="L665" s="3"/>
    </row>
    <row r="666" spans="3:12" ht="15.75" customHeight="1" x14ac:dyDescent="0.2">
      <c r="C666" s="6"/>
      <c r="F666" s="3"/>
      <c r="H666" s="3"/>
      <c r="J666" s="3"/>
      <c r="L666" s="3"/>
    </row>
    <row r="667" spans="3:12" ht="15.75" customHeight="1" x14ac:dyDescent="0.2">
      <c r="C667" s="6"/>
      <c r="F667" s="3"/>
      <c r="H667" s="3"/>
      <c r="J667" s="3"/>
      <c r="L667" s="3"/>
    </row>
    <row r="668" spans="3:12" ht="15.75" customHeight="1" x14ac:dyDescent="0.2">
      <c r="C668" s="6"/>
      <c r="F668" s="3"/>
      <c r="H668" s="3"/>
      <c r="J668" s="3"/>
      <c r="L668" s="3"/>
    </row>
    <row r="669" spans="3:12" ht="15.75" customHeight="1" x14ac:dyDescent="0.2">
      <c r="C669" s="6"/>
      <c r="F669" s="3"/>
      <c r="H669" s="3"/>
      <c r="J669" s="3"/>
      <c r="L669" s="3"/>
    </row>
    <row r="670" spans="3:12" ht="15.75" customHeight="1" x14ac:dyDescent="0.2">
      <c r="C670" s="6"/>
      <c r="F670" s="3"/>
      <c r="H670" s="3"/>
      <c r="J670" s="3"/>
      <c r="L670" s="3"/>
    </row>
    <row r="671" spans="3:12" ht="15.75" customHeight="1" x14ac:dyDescent="0.2">
      <c r="C671" s="6"/>
      <c r="F671" s="3"/>
      <c r="H671" s="3"/>
      <c r="J671" s="3"/>
      <c r="L671" s="3"/>
    </row>
    <row r="672" spans="3:12" ht="15.75" customHeight="1" x14ac:dyDescent="0.2">
      <c r="C672" s="6"/>
      <c r="F672" s="3"/>
      <c r="H672" s="3"/>
      <c r="J672" s="3"/>
      <c r="L672" s="3"/>
    </row>
    <row r="673" spans="3:12" ht="15.75" customHeight="1" x14ac:dyDescent="0.2">
      <c r="C673" s="6"/>
      <c r="F673" s="3"/>
      <c r="H673" s="3"/>
      <c r="J673" s="3"/>
      <c r="L673" s="3"/>
    </row>
    <row r="674" spans="3:12" ht="15.75" customHeight="1" x14ac:dyDescent="0.2">
      <c r="C674" s="6"/>
      <c r="F674" s="3"/>
      <c r="H674" s="3"/>
      <c r="J674" s="3"/>
      <c r="L674" s="3"/>
    </row>
    <row r="675" spans="3:12" ht="15.75" customHeight="1" x14ac:dyDescent="0.2">
      <c r="C675" s="6"/>
      <c r="F675" s="3"/>
      <c r="H675" s="3"/>
      <c r="J675" s="3"/>
      <c r="L675" s="3"/>
    </row>
    <row r="676" spans="3:12" ht="15.75" customHeight="1" x14ac:dyDescent="0.2">
      <c r="C676" s="6"/>
      <c r="F676" s="3"/>
      <c r="H676" s="3"/>
      <c r="J676" s="3"/>
      <c r="L676" s="3"/>
    </row>
    <row r="677" spans="3:12" ht="15.75" customHeight="1" x14ac:dyDescent="0.2">
      <c r="C677" s="6"/>
      <c r="F677" s="3"/>
      <c r="H677" s="3"/>
      <c r="J677" s="3"/>
      <c r="L677" s="3"/>
    </row>
    <row r="678" spans="3:12" ht="15.75" customHeight="1" x14ac:dyDescent="0.2">
      <c r="C678" s="6"/>
      <c r="F678" s="3"/>
      <c r="H678" s="3"/>
      <c r="J678" s="3"/>
      <c r="L678" s="3"/>
    </row>
    <row r="679" spans="3:12" ht="15.75" customHeight="1" x14ac:dyDescent="0.2">
      <c r="C679" s="6"/>
      <c r="F679" s="3"/>
      <c r="H679" s="3"/>
      <c r="J679" s="3"/>
      <c r="L679" s="3"/>
    </row>
    <row r="680" spans="3:12" ht="15.75" customHeight="1" x14ac:dyDescent="0.2">
      <c r="C680" s="6"/>
      <c r="F680" s="3"/>
      <c r="H680" s="3"/>
      <c r="J680" s="3"/>
      <c r="L680" s="3"/>
    </row>
    <row r="681" spans="3:12" ht="15.75" customHeight="1" x14ac:dyDescent="0.2">
      <c r="C681" s="6"/>
      <c r="F681" s="3"/>
      <c r="H681" s="3"/>
      <c r="J681" s="3"/>
      <c r="L681" s="3"/>
    </row>
    <row r="682" spans="3:12" ht="15.75" customHeight="1" x14ac:dyDescent="0.2">
      <c r="C682" s="6"/>
      <c r="F682" s="3"/>
      <c r="H682" s="3"/>
      <c r="J682" s="3"/>
      <c r="L682" s="3"/>
    </row>
    <row r="683" spans="3:12" ht="15.75" customHeight="1" x14ac:dyDescent="0.2">
      <c r="C683" s="6"/>
      <c r="F683" s="3"/>
      <c r="H683" s="3"/>
      <c r="J683" s="3"/>
      <c r="L683" s="3"/>
    </row>
    <row r="684" spans="3:12" ht="15.75" customHeight="1" x14ac:dyDescent="0.2">
      <c r="C684" s="6"/>
      <c r="F684" s="3"/>
      <c r="H684" s="3"/>
      <c r="J684" s="3"/>
      <c r="L684" s="3"/>
    </row>
    <row r="685" spans="3:12" ht="15.75" customHeight="1" x14ac:dyDescent="0.2">
      <c r="C685" s="6"/>
      <c r="F685" s="3"/>
      <c r="H685" s="3"/>
      <c r="J685" s="3"/>
      <c r="L685" s="3"/>
    </row>
    <row r="686" spans="3:12" ht="15.75" customHeight="1" x14ac:dyDescent="0.2">
      <c r="C686" s="6"/>
      <c r="F686" s="3"/>
      <c r="H686" s="3"/>
      <c r="J686" s="3"/>
      <c r="L686" s="3"/>
    </row>
    <row r="687" spans="3:12" ht="15.75" customHeight="1" x14ac:dyDescent="0.2">
      <c r="C687" s="6"/>
      <c r="F687" s="3"/>
      <c r="H687" s="3"/>
      <c r="J687" s="3"/>
      <c r="L687" s="3"/>
    </row>
    <row r="688" spans="3:12" ht="15.75" customHeight="1" x14ac:dyDescent="0.2">
      <c r="C688" s="6"/>
      <c r="F688" s="3"/>
      <c r="H688" s="3"/>
      <c r="J688" s="3"/>
      <c r="L688" s="3"/>
    </row>
    <row r="689" spans="3:12" ht="15.75" customHeight="1" x14ac:dyDescent="0.2">
      <c r="C689" s="6"/>
      <c r="F689" s="3"/>
      <c r="H689" s="3"/>
      <c r="J689" s="3"/>
      <c r="L689" s="3"/>
    </row>
    <row r="690" spans="3:12" ht="15.75" customHeight="1" x14ac:dyDescent="0.2">
      <c r="C690" s="6"/>
      <c r="F690" s="3"/>
      <c r="H690" s="3"/>
      <c r="J690" s="3"/>
      <c r="L690" s="3"/>
    </row>
    <row r="691" spans="3:12" ht="15.75" customHeight="1" x14ac:dyDescent="0.2">
      <c r="C691" s="6"/>
      <c r="F691" s="3"/>
      <c r="H691" s="3"/>
      <c r="J691" s="3"/>
      <c r="L691" s="3"/>
    </row>
    <row r="692" spans="3:12" ht="15.75" customHeight="1" x14ac:dyDescent="0.2">
      <c r="C692" s="6"/>
      <c r="F692" s="3"/>
      <c r="H692" s="3"/>
      <c r="J692" s="3"/>
      <c r="L692" s="3"/>
    </row>
    <row r="693" spans="3:12" ht="15.75" customHeight="1" x14ac:dyDescent="0.2">
      <c r="C693" s="6"/>
      <c r="F693" s="3"/>
      <c r="H693" s="3"/>
      <c r="J693" s="3"/>
      <c r="L693" s="3"/>
    </row>
    <row r="694" spans="3:12" ht="15.75" customHeight="1" x14ac:dyDescent="0.2">
      <c r="C694" s="6"/>
      <c r="F694" s="3"/>
      <c r="H694" s="3"/>
      <c r="J694" s="3"/>
      <c r="L694" s="3"/>
    </row>
    <row r="695" spans="3:12" ht="15.75" customHeight="1" x14ac:dyDescent="0.2">
      <c r="C695" s="6"/>
      <c r="F695" s="3"/>
      <c r="H695" s="3"/>
      <c r="J695" s="3"/>
      <c r="L695" s="3"/>
    </row>
    <row r="696" spans="3:12" ht="15.75" customHeight="1" x14ac:dyDescent="0.2">
      <c r="C696" s="6"/>
      <c r="F696" s="3"/>
      <c r="H696" s="3"/>
      <c r="J696" s="3"/>
      <c r="L696" s="3"/>
    </row>
    <row r="697" spans="3:12" ht="15.75" customHeight="1" x14ac:dyDescent="0.2">
      <c r="C697" s="6"/>
      <c r="F697" s="3"/>
      <c r="H697" s="3"/>
      <c r="J697" s="3"/>
      <c r="L697" s="3"/>
    </row>
    <row r="698" spans="3:12" ht="15.75" customHeight="1" x14ac:dyDescent="0.2">
      <c r="C698" s="6"/>
      <c r="F698" s="3"/>
      <c r="H698" s="3"/>
      <c r="J698" s="3"/>
      <c r="L698" s="3"/>
    </row>
    <row r="699" spans="3:12" ht="15.75" customHeight="1" x14ac:dyDescent="0.2">
      <c r="C699" s="6"/>
      <c r="F699" s="3"/>
      <c r="H699" s="3"/>
      <c r="J699" s="3"/>
      <c r="L699" s="3"/>
    </row>
    <row r="700" spans="3:12" ht="15.75" customHeight="1" x14ac:dyDescent="0.2">
      <c r="C700" s="6"/>
      <c r="F700" s="3"/>
      <c r="H700" s="3"/>
      <c r="J700" s="3"/>
      <c r="L700" s="3"/>
    </row>
    <row r="701" spans="3:12" ht="15.75" customHeight="1" x14ac:dyDescent="0.2">
      <c r="C701" s="6"/>
      <c r="F701" s="3"/>
      <c r="H701" s="3"/>
      <c r="J701" s="3"/>
      <c r="L701" s="3"/>
    </row>
    <row r="702" spans="3:12" ht="15.75" customHeight="1" x14ac:dyDescent="0.2">
      <c r="C702" s="6"/>
      <c r="F702" s="3"/>
      <c r="H702" s="3"/>
      <c r="J702" s="3"/>
      <c r="L702" s="3"/>
    </row>
    <row r="703" spans="3:12" ht="15.75" customHeight="1" x14ac:dyDescent="0.2">
      <c r="C703" s="6"/>
      <c r="F703" s="3"/>
      <c r="H703" s="3"/>
      <c r="J703" s="3"/>
      <c r="L703" s="3"/>
    </row>
    <row r="704" spans="3:12" ht="15.75" customHeight="1" x14ac:dyDescent="0.2">
      <c r="C704" s="6"/>
      <c r="F704" s="3"/>
      <c r="H704" s="3"/>
      <c r="J704" s="3"/>
      <c r="L704" s="3"/>
    </row>
    <row r="705" spans="3:12" ht="15.75" customHeight="1" x14ac:dyDescent="0.2">
      <c r="C705" s="6"/>
      <c r="F705" s="3"/>
      <c r="H705" s="3"/>
      <c r="J705" s="3"/>
      <c r="L705" s="3"/>
    </row>
    <row r="706" spans="3:12" ht="15.75" customHeight="1" x14ac:dyDescent="0.2">
      <c r="C706" s="6"/>
      <c r="F706" s="3"/>
      <c r="H706" s="3"/>
      <c r="J706" s="3"/>
      <c r="L706" s="3"/>
    </row>
    <row r="707" spans="3:12" ht="15.75" customHeight="1" x14ac:dyDescent="0.2">
      <c r="C707" s="6"/>
      <c r="F707" s="3"/>
      <c r="H707" s="3"/>
      <c r="J707" s="3"/>
      <c r="L707" s="3"/>
    </row>
    <row r="708" spans="3:12" ht="15.75" customHeight="1" x14ac:dyDescent="0.2">
      <c r="C708" s="6"/>
      <c r="F708" s="3"/>
      <c r="H708" s="3"/>
      <c r="J708" s="3"/>
      <c r="L708" s="3"/>
    </row>
    <row r="709" spans="3:12" ht="15.75" customHeight="1" x14ac:dyDescent="0.2">
      <c r="C709" s="6"/>
      <c r="F709" s="3"/>
      <c r="H709" s="3"/>
      <c r="J709" s="3"/>
      <c r="L709" s="3"/>
    </row>
    <row r="710" spans="3:12" ht="15.75" customHeight="1" x14ac:dyDescent="0.2">
      <c r="C710" s="6"/>
      <c r="F710" s="3"/>
      <c r="H710" s="3"/>
      <c r="J710" s="3"/>
      <c r="L710" s="3"/>
    </row>
    <row r="711" spans="3:12" ht="15.75" customHeight="1" x14ac:dyDescent="0.2">
      <c r="C711" s="6"/>
      <c r="F711" s="3"/>
      <c r="H711" s="3"/>
      <c r="J711" s="3"/>
      <c r="L711" s="3"/>
    </row>
    <row r="712" spans="3:12" ht="15.75" customHeight="1" x14ac:dyDescent="0.2">
      <c r="C712" s="6"/>
      <c r="F712" s="3"/>
      <c r="H712" s="3"/>
      <c r="J712" s="3"/>
      <c r="L712" s="3"/>
    </row>
    <row r="713" spans="3:12" ht="15.75" customHeight="1" x14ac:dyDescent="0.2">
      <c r="C713" s="6"/>
      <c r="F713" s="3"/>
      <c r="H713" s="3"/>
      <c r="J713" s="3"/>
      <c r="L713" s="3"/>
    </row>
    <row r="714" spans="3:12" ht="15.75" customHeight="1" x14ac:dyDescent="0.2">
      <c r="C714" s="6"/>
      <c r="F714" s="3"/>
      <c r="H714" s="3"/>
      <c r="J714" s="3"/>
      <c r="L714" s="3"/>
    </row>
    <row r="715" spans="3:12" ht="15.75" customHeight="1" x14ac:dyDescent="0.2">
      <c r="C715" s="6"/>
      <c r="F715" s="3"/>
      <c r="H715" s="3"/>
      <c r="J715" s="3"/>
      <c r="L715" s="3"/>
    </row>
    <row r="716" spans="3:12" ht="15.75" customHeight="1" x14ac:dyDescent="0.2">
      <c r="C716" s="6"/>
      <c r="F716" s="3"/>
      <c r="H716" s="3"/>
      <c r="J716" s="3"/>
      <c r="L716" s="3"/>
    </row>
    <row r="717" spans="3:12" ht="15.75" customHeight="1" x14ac:dyDescent="0.2">
      <c r="C717" s="6"/>
      <c r="F717" s="3"/>
      <c r="H717" s="3"/>
      <c r="J717" s="3"/>
      <c r="L717" s="3"/>
    </row>
    <row r="718" spans="3:12" ht="15.75" customHeight="1" x14ac:dyDescent="0.2">
      <c r="C718" s="6"/>
      <c r="F718" s="3"/>
      <c r="H718" s="3"/>
      <c r="J718" s="3"/>
      <c r="L718" s="3"/>
    </row>
    <row r="719" spans="3:12" ht="15.75" customHeight="1" x14ac:dyDescent="0.2">
      <c r="C719" s="6"/>
      <c r="F719" s="3"/>
      <c r="H719" s="3"/>
      <c r="J719" s="3"/>
      <c r="L719" s="3"/>
    </row>
    <row r="720" spans="3:12" ht="15.75" customHeight="1" x14ac:dyDescent="0.2">
      <c r="C720" s="6"/>
      <c r="F720" s="3"/>
      <c r="H720" s="3"/>
      <c r="J720" s="3"/>
      <c r="L720" s="3"/>
    </row>
    <row r="721" spans="3:12" ht="15.75" customHeight="1" x14ac:dyDescent="0.2">
      <c r="C721" s="6"/>
      <c r="F721" s="3"/>
      <c r="H721" s="3"/>
      <c r="J721" s="3"/>
      <c r="L721" s="3"/>
    </row>
    <row r="722" spans="3:12" ht="15.75" customHeight="1" x14ac:dyDescent="0.2">
      <c r="C722" s="6"/>
      <c r="F722" s="3"/>
      <c r="H722" s="3"/>
      <c r="J722" s="3"/>
      <c r="L722" s="3"/>
    </row>
    <row r="723" spans="3:12" ht="15.75" customHeight="1" x14ac:dyDescent="0.2">
      <c r="C723" s="6"/>
      <c r="F723" s="3"/>
      <c r="H723" s="3"/>
      <c r="J723" s="3"/>
      <c r="L723" s="3"/>
    </row>
    <row r="724" spans="3:12" ht="15.75" customHeight="1" x14ac:dyDescent="0.2">
      <c r="C724" s="6"/>
      <c r="F724" s="3"/>
      <c r="H724" s="3"/>
      <c r="J724" s="3"/>
      <c r="L724" s="3"/>
    </row>
    <row r="725" spans="3:12" ht="15.75" customHeight="1" x14ac:dyDescent="0.2">
      <c r="C725" s="6"/>
      <c r="F725" s="3"/>
      <c r="H725" s="3"/>
      <c r="J725" s="3"/>
      <c r="L725" s="3"/>
    </row>
    <row r="726" spans="3:12" ht="15.75" customHeight="1" x14ac:dyDescent="0.2">
      <c r="C726" s="6"/>
      <c r="F726" s="3"/>
      <c r="H726" s="3"/>
      <c r="J726" s="3"/>
      <c r="L726" s="3"/>
    </row>
    <row r="727" spans="3:12" ht="15.75" customHeight="1" x14ac:dyDescent="0.2">
      <c r="C727" s="6"/>
      <c r="F727" s="3"/>
      <c r="H727" s="3"/>
      <c r="J727" s="3"/>
      <c r="L727" s="3"/>
    </row>
    <row r="728" spans="3:12" ht="15.75" customHeight="1" x14ac:dyDescent="0.2">
      <c r="C728" s="6"/>
      <c r="F728" s="3"/>
      <c r="H728" s="3"/>
      <c r="J728" s="3"/>
      <c r="L728" s="3"/>
    </row>
    <row r="729" spans="3:12" ht="15.75" customHeight="1" x14ac:dyDescent="0.2">
      <c r="C729" s="6"/>
      <c r="F729" s="3"/>
      <c r="H729" s="3"/>
      <c r="J729" s="3"/>
      <c r="L729" s="3"/>
    </row>
    <row r="730" spans="3:12" ht="15.75" customHeight="1" x14ac:dyDescent="0.2">
      <c r="C730" s="6"/>
      <c r="F730" s="3"/>
      <c r="H730" s="3"/>
      <c r="J730" s="3"/>
      <c r="L730" s="3"/>
    </row>
    <row r="731" spans="3:12" ht="15.75" customHeight="1" x14ac:dyDescent="0.2">
      <c r="C731" s="6"/>
      <c r="F731" s="3"/>
      <c r="H731" s="3"/>
      <c r="J731" s="3"/>
      <c r="L731" s="3"/>
    </row>
    <row r="732" spans="3:12" ht="15.75" customHeight="1" x14ac:dyDescent="0.2">
      <c r="C732" s="6"/>
      <c r="F732" s="3"/>
      <c r="H732" s="3"/>
      <c r="J732" s="3"/>
      <c r="L732" s="3"/>
    </row>
    <row r="733" spans="3:12" ht="15.75" customHeight="1" x14ac:dyDescent="0.2">
      <c r="C733" s="6"/>
      <c r="F733" s="3"/>
      <c r="H733" s="3"/>
      <c r="J733" s="3"/>
      <c r="L733" s="3"/>
    </row>
    <row r="734" spans="3:12" ht="15.75" customHeight="1" x14ac:dyDescent="0.2">
      <c r="C734" s="6"/>
      <c r="F734" s="3"/>
      <c r="H734" s="3"/>
      <c r="J734" s="3"/>
      <c r="L734" s="3"/>
    </row>
    <row r="735" spans="3:12" ht="15.75" customHeight="1" x14ac:dyDescent="0.2">
      <c r="C735" s="6"/>
      <c r="F735" s="3"/>
      <c r="H735" s="3"/>
      <c r="J735" s="3"/>
      <c r="L735" s="3"/>
    </row>
    <row r="736" spans="3:12" ht="15.75" customHeight="1" x14ac:dyDescent="0.2">
      <c r="C736" s="6"/>
      <c r="F736" s="3"/>
      <c r="H736" s="3"/>
      <c r="J736" s="3"/>
      <c r="L736" s="3"/>
    </row>
    <row r="737" spans="3:12" ht="15.75" customHeight="1" x14ac:dyDescent="0.2">
      <c r="C737" s="6"/>
      <c r="F737" s="3"/>
      <c r="H737" s="3"/>
      <c r="J737" s="3"/>
      <c r="L737" s="3"/>
    </row>
    <row r="738" spans="3:12" ht="15.75" customHeight="1" x14ac:dyDescent="0.2">
      <c r="C738" s="6"/>
      <c r="F738" s="3"/>
      <c r="H738" s="3"/>
      <c r="J738" s="3"/>
      <c r="L738" s="3"/>
    </row>
    <row r="739" spans="3:12" ht="15.75" customHeight="1" x14ac:dyDescent="0.2">
      <c r="C739" s="6"/>
      <c r="F739" s="3"/>
      <c r="H739" s="3"/>
      <c r="J739" s="3"/>
      <c r="L739" s="3"/>
    </row>
    <row r="740" spans="3:12" ht="15.75" customHeight="1" x14ac:dyDescent="0.2">
      <c r="C740" s="6"/>
      <c r="F740" s="3"/>
      <c r="H740" s="3"/>
      <c r="J740" s="3"/>
      <c r="L740" s="3"/>
    </row>
    <row r="741" spans="3:12" ht="15.75" customHeight="1" x14ac:dyDescent="0.2">
      <c r="C741" s="6"/>
      <c r="F741" s="3"/>
      <c r="H741" s="3"/>
      <c r="J741" s="3"/>
      <c r="L741" s="3"/>
    </row>
    <row r="742" spans="3:12" ht="15.75" customHeight="1" x14ac:dyDescent="0.2">
      <c r="C742" s="6"/>
      <c r="F742" s="3"/>
      <c r="H742" s="3"/>
      <c r="J742" s="3"/>
      <c r="L742" s="3"/>
    </row>
    <row r="743" spans="3:12" ht="15.75" customHeight="1" x14ac:dyDescent="0.2">
      <c r="C743" s="6"/>
      <c r="F743" s="3"/>
      <c r="H743" s="3"/>
      <c r="J743" s="3"/>
      <c r="L743" s="3"/>
    </row>
    <row r="744" spans="3:12" ht="15.75" customHeight="1" x14ac:dyDescent="0.2">
      <c r="C744" s="6"/>
      <c r="F744" s="3"/>
      <c r="H744" s="3"/>
      <c r="J744" s="3"/>
      <c r="L744" s="3"/>
    </row>
    <row r="745" spans="3:12" ht="15.75" customHeight="1" x14ac:dyDescent="0.2">
      <c r="C745" s="6"/>
      <c r="F745" s="3"/>
      <c r="H745" s="3"/>
      <c r="J745" s="3"/>
      <c r="L745" s="3"/>
    </row>
    <row r="746" spans="3:12" ht="15.75" customHeight="1" x14ac:dyDescent="0.2">
      <c r="C746" s="6"/>
      <c r="F746" s="3"/>
      <c r="H746" s="3"/>
      <c r="J746" s="3"/>
      <c r="L746" s="3"/>
    </row>
    <row r="747" spans="3:12" ht="15.75" customHeight="1" x14ac:dyDescent="0.2">
      <c r="C747" s="6"/>
      <c r="F747" s="3"/>
      <c r="H747" s="3"/>
      <c r="J747" s="3"/>
      <c r="L747" s="3"/>
    </row>
    <row r="748" spans="3:12" ht="15.75" customHeight="1" x14ac:dyDescent="0.2">
      <c r="C748" s="6"/>
      <c r="F748" s="3"/>
      <c r="H748" s="3"/>
      <c r="J748" s="3"/>
      <c r="L748" s="3"/>
    </row>
    <row r="749" spans="3:12" ht="15.75" customHeight="1" x14ac:dyDescent="0.2">
      <c r="C749" s="6"/>
      <c r="F749" s="3"/>
      <c r="H749" s="3"/>
      <c r="J749" s="3"/>
      <c r="L749" s="3"/>
    </row>
    <row r="750" spans="3:12" ht="15.75" customHeight="1" x14ac:dyDescent="0.2">
      <c r="C750" s="6"/>
      <c r="F750" s="3"/>
      <c r="H750" s="3"/>
      <c r="J750" s="3"/>
      <c r="L750" s="3"/>
    </row>
    <row r="751" spans="3:12" ht="15.75" customHeight="1" x14ac:dyDescent="0.2">
      <c r="C751" s="6"/>
      <c r="F751" s="3"/>
      <c r="H751" s="3"/>
      <c r="J751" s="3"/>
      <c r="L751" s="3"/>
    </row>
    <row r="752" spans="3:12" ht="15.75" customHeight="1" x14ac:dyDescent="0.2">
      <c r="C752" s="6"/>
      <c r="F752" s="3"/>
      <c r="H752" s="3"/>
      <c r="J752" s="3"/>
      <c r="L752" s="3"/>
    </row>
    <row r="753" spans="3:12" ht="15.75" customHeight="1" x14ac:dyDescent="0.2">
      <c r="C753" s="6"/>
      <c r="F753" s="3"/>
      <c r="H753" s="3"/>
      <c r="J753" s="3"/>
      <c r="L753" s="3"/>
    </row>
    <row r="754" spans="3:12" ht="15.75" customHeight="1" x14ac:dyDescent="0.2">
      <c r="C754" s="6"/>
      <c r="F754" s="3"/>
      <c r="H754" s="3"/>
      <c r="J754" s="3"/>
      <c r="L754" s="3"/>
    </row>
    <row r="755" spans="3:12" ht="15.75" customHeight="1" x14ac:dyDescent="0.2">
      <c r="C755" s="6"/>
      <c r="F755" s="3"/>
      <c r="H755" s="3"/>
      <c r="J755" s="3"/>
      <c r="L755" s="3"/>
    </row>
    <row r="756" spans="3:12" ht="15.75" customHeight="1" x14ac:dyDescent="0.2">
      <c r="C756" s="6"/>
      <c r="F756" s="3"/>
      <c r="H756" s="3"/>
      <c r="J756" s="3"/>
      <c r="L756" s="3"/>
    </row>
    <row r="757" spans="3:12" ht="15.75" customHeight="1" x14ac:dyDescent="0.2">
      <c r="C757" s="6"/>
      <c r="F757" s="3"/>
      <c r="H757" s="3"/>
      <c r="J757" s="3"/>
      <c r="L757" s="3"/>
    </row>
    <row r="758" spans="3:12" ht="15.75" customHeight="1" x14ac:dyDescent="0.2">
      <c r="C758" s="6"/>
      <c r="F758" s="3"/>
      <c r="H758" s="3"/>
      <c r="J758" s="3"/>
      <c r="L758" s="3"/>
    </row>
    <row r="759" spans="3:12" ht="15.75" customHeight="1" x14ac:dyDescent="0.2">
      <c r="C759" s="6"/>
      <c r="F759" s="3"/>
      <c r="H759" s="3"/>
      <c r="J759" s="3"/>
      <c r="L759" s="3"/>
    </row>
    <row r="760" spans="3:12" ht="15.75" customHeight="1" x14ac:dyDescent="0.2">
      <c r="C760" s="6"/>
      <c r="F760" s="3"/>
      <c r="H760" s="3"/>
      <c r="J760" s="3"/>
      <c r="L760" s="3"/>
    </row>
    <row r="761" spans="3:12" ht="15.75" customHeight="1" x14ac:dyDescent="0.2">
      <c r="C761" s="6"/>
      <c r="F761" s="3"/>
      <c r="H761" s="3"/>
      <c r="J761" s="3"/>
      <c r="L761" s="3"/>
    </row>
    <row r="762" spans="3:12" ht="15.75" customHeight="1" x14ac:dyDescent="0.2">
      <c r="C762" s="6"/>
      <c r="F762" s="3"/>
      <c r="H762" s="3"/>
      <c r="J762" s="3"/>
      <c r="L762" s="3"/>
    </row>
    <row r="763" spans="3:12" ht="15.75" customHeight="1" x14ac:dyDescent="0.2">
      <c r="C763" s="6"/>
      <c r="F763" s="3"/>
      <c r="H763" s="3"/>
      <c r="J763" s="3"/>
      <c r="L763" s="3"/>
    </row>
    <row r="764" spans="3:12" ht="15.75" customHeight="1" x14ac:dyDescent="0.2">
      <c r="C764" s="6"/>
      <c r="F764" s="3"/>
      <c r="H764" s="3"/>
      <c r="J764" s="3"/>
      <c r="L764" s="3"/>
    </row>
    <row r="765" spans="3:12" ht="15.75" customHeight="1" x14ac:dyDescent="0.2">
      <c r="C765" s="6"/>
      <c r="F765" s="3"/>
      <c r="H765" s="3"/>
      <c r="J765" s="3"/>
      <c r="L765" s="3"/>
    </row>
    <row r="766" spans="3:12" ht="15.75" customHeight="1" x14ac:dyDescent="0.2">
      <c r="C766" s="6"/>
      <c r="F766" s="3"/>
      <c r="H766" s="3"/>
      <c r="J766" s="3"/>
      <c r="L766" s="3"/>
    </row>
    <row r="767" spans="3:12" ht="15.75" customHeight="1" x14ac:dyDescent="0.2">
      <c r="C767" s="6"/>
      <c r="F767" s="3"/>
      <c r="H767" s="3"/>
      <c r="J767" s="3"/>
      <c r="L767" s="3"/>
    </row>
    <row r="768" spans="3:12" ht="15.75" customHeight="1" x14ac:dyDescent="0.2">
      <c r="C768" s="6"/>
      <c r="F768" s="3"/>
      <c r="H768" s="3"/>
      <c r="J768" s="3"/>
      <c r="L768" s="3"/>
    </row>
    <row r="769" spans="3:12" ht="15.75" customHeight="1" x14ac:dyDescent="0.2">
      <c r="C769" s="6"/>
      <c r="F769" s="3"/>
      <c r="H769" s="3"/>
      <c r="J769" s="3"/>
      <c r="L769" s="3"/>
    </row>
    <row r="770" spans="3:12" ht="15.75" customHeight="1" x14ac:dyDescent="0.2">
      <c r="C770" s="6"/>
      <c r="F770" s="3"/>
      <c r="H770" s="3"/>
      <c r="J770" s="3"/>
      <c r="L770" s="3"/>
    </row>
    <row r="771" spans="3:12" ht="15.75" customHeight="1" x14ac:dyDescent="0.2">
      <c r="C771" s="6"/>
      <c r="F771" s="3"/>
      <c r="H771" s="3"/>
      <c r="J771" s="3"/>
      <c r="L771" s="3"/>
    </row>
    <row r="772" spans="3:12" ht="15.75" customHeight="1" x14ac:dyDescent="0.2">
      <c r="C772" s="6"/>
      <c r="F772" s="3"/>
      <c r="H772" s="3"/>
      <c r="J772" s="3"/>
      <c r="L772" s="3"/>
    </row>
    <row r="773" spans="3:12" ht="15.75" customHeight="1" x14ac:dyDescent="0.2">
      <c r="C773" s="6"/>
      <c r="F773" s="3"/>
      <c r="H773" s="3"/>
      <c r="J773" s="3"/>
      <c r="L773" s="3"/>
    </row>
    <row r="774" spans="3:12" ht="15.75" customHeight="1" x14ac:dyDescent="0.2">
      <c r="C774" s="6"/>
      <c r="F774" s="3"/>
      <c r="H774" s="3"/>
      <c r="J774" s="3"/>
      <c r="L774" s="3"/>
    </row>
    <row r="775" spans="3:12" ht="15.75" customHeight="1" x14ac:dyDescent="0.2">
      <c r="C775" s="6"/>
      <c r="F775" s="3"/>
      <c r="H775" s="3"/>
      <c r="J775" s="3"/>
      <c r="L775" s="3"/>
    </row>
    <row r="776" spans="3:12" ht="15.75" customHeight="1" x14ac:dyDescent="0.2">
      <c r="C776" s="6"/>
      <c r="F776" s="3"/>
      <c r="H776" s="3"/>
      <c r="J776" s="3"/>
      <c r="L776" s="3"/>
    </row>
    <row r="777" spans="3:12" ht="15.75" customHeight="1" x14ac:dyDescent="0.2">
      <c r="C777" s="6"/>
      <c r="F777" s="3"/>
      <c r="H777" s="3"/>
      <c r="J777" s="3"/>
      <c r="L777" s="3"/>
    </row>
    <row r="778" spans="3:12" ht="15.75" customHeight="1" x14ac:dyDescent="0.2">
      <c r="C778" s="6"/>
      <c r="F778" s="3"/>
      <c r="H778" s="3"/>
      <c r="J778" s="3"/>
      <c r="L778" s="3"/>
    </row>
    <row r="779" spans="3:12" ht="15.75" customHeight="1" x14ac:dyDescent="0.2">
      <c r="C779" s="6"/>
      <c r="F779" s="3"/>
      <c r="H779" s="3"/>
      <c r="J779" s="3"/>
      <c r="L779" s="3"/>
    </row>
    <row r="780" spans="3:12" ht="15.75" customHeight="1" x14ac:dyDescent="0.2">
      <c r="C780" s="6"/>
      <c r="F780" s="3"/>
      <c r="H780" s="3"/>
      <c r="J780" s="3"/>
      <c r="L780" s="3"/>
    </row>
    <row r="781" spans="3:12" ht="15.75" customHeight="1" x14ac:dyDescent="0.2">
      <c r="C781" s="6"/>
      <c r="F781" s="3"/>
      <c r="H781" s="3"/>
      <c r="J781" s="3"/>
      <c r="L781" s="3"/>
    </row>
    <row r="782" spans="3:12" ht="15.75" customHeight="1" x14ac:dyDescent="0.2">
      <c r="C782" s="6"/>
      <c r="F782" s="3"/>
      <c r="H782" s="3"/>
      <c r="J782" s="3"/>
      <c r="L782" s="3"/>
    </row>
    <row r="783" spans="3:12" ht="15.75" customHeight="1" x14ac:dyDescent="0.2">
      <c r="C783" s="6"/>
      <c r="F783" s="3"/>
      <c r="H783" s="3"/>
      <c r="J783" s="3"/>
      <c r="L783" s="3"/>
    </row>
    <row r="784" spans="3:12" ht="15.75" customHeight="1" x14ac:dyDescent="0.2">
      <c r="C784" s="6"/>
      <c r="F784" s="3"/>
      <c r="H784" s="3"/>
      <c r="J784" s="3"/>
      <c r="L784" s="3"/>
    </row>
    <row r="785" spans="3:12" ht="15.75" customHeight="1" x14ac:dyDescent="0.2">
      <c r="C785" s="6"/>
      <c r="F785" s="3"/>
      <c r="H785" s="3"/>
      <c r="J785" s="3"/>
      <c r="L785" s="3"/>
    </row>
    <row r="786" spans="3:12" ht="15.75" customHeight="1" x14ac:dyDescent="0.2">
      <c r="C786" s="6"/>
      <c r="F786" s="3"/>
      <c r="H786" s="3"/>
      <c r="J786" s="3"/>
      <c r="L786" s="3"/>
    </row>
    <row r="787" spans="3:12" ht="15.75" customHeight="1" x14ac:dyDescent="0.2">
      <c r="C787" s="6"/>
      <c r="F787" s="3"/>
      <c r="H787" s="3"/>
      <c r="J787" s="3"/>
      <c r="L787" s="3"/>
    </row>
    <row r="788" spans="3:12" ht="15.75" customHeight="1" x14ac:dyDescent="0.2">
      <c r="C788" s="6"/>
      <c r="F788" s="3"/>
      <c r="H788" s="3"/>
      <c r="J788" s="3"/>
      <c r="L788" s="3"/>
    </row>
    <row r="789" spans="3:12" ht="15.75" customHeight="1" x14ac:dyDescent="0.2">
      <c r="C789" s="6"/>
      <c r="F789" s="3"/>
      <c r="H789" s="3"/>
      <c r="J789" s="3"/>
      <c r="L789" s="3"/>
    </row>
    <row r="790" spans="3:12" ht="15.75" customHeight="1" x14ac:dyDescent="0.2">
      <c r="C790" s="6"/>
      <c r="F790" s="3"/>
      <c r="H790" s="3"/>
      <c r="J790" s="3"/>
      <c r="L790" s="3"/>
    </row>
    <row r="791" spans="3:12" ht="15.75" customHeight="1" x14ac:dyDescent="0.2">
      <c r="C791" s="6"/>
      <c r="F791" s="3"/>
      <c r="H791" s="3"/>
      <c r="J791" s="3"/>
      <c r="L791" s="3"/>
    </row>
    <row r="792" spans="3:12" ht="15.75" customHeight="1" x14ac:dyDescent="0.2">
      <c r="C792" s="6"/>
      <c r="F792" s="3"/>
      <c r="H792" s="3"/>
      <c r="J792" s="3"/>
      <c r="L792" s="3"/>
    </row>
    <row r="793" spans="3:12" ht="15.75" customHeight="1" x14ac:dyDescent="0.2">
      <c r="C793" s="6"/>
      <c r="F793" s="3"/>
      <c r="H793" s="3"/>
      <c r="J793" s="3"/>
      <c r="L793" s="3"/>
    </row>
    <row r="794" spans="3:12" ht="15.75" customHeight="1" x14ac:dyDescent="0.2">
      <c r="C794" s="6"/>
      <c r="F794" s="3"/>
      <c r="H794" s="3"/>
      <c r="J794" s="3"/>
      <c r="L794" s="3"/>
    </row>
    <row r="795" spans="3:12" ht="15.75" customHeight="1" x14ac:dyDescent="0.2">
      <c r="C795" s="6"/>
      <c r="F795" s="3"/>
      <c r="H795" s="3"/>
      <c r="J795" s="3"/>
      <c r="L795" s="3"/>
    </row>
    <row r="796" spans="3:12" ht="15.75" customHeight="1" x14ac:dyDescent="0.2">
      <c r="C796" s="6"/>
      <c r="F796" s="3"/>
      <c r="H796" s="3"/>
      <c r="J796" s="3"/>
      <c r="L796" s="3"/>
    </row>
    <row r="797" spans="3:12" ht="15.75" customHeight="1" x14ac:dyDescent="0.2">
      <c r="C797" s="6"/>
      <c r="F797" s="3"/>
      <c r="H797" s="3"/>
      <c r="J797" s="3"/>
      <c r="L797" s="3"/>
    </row>
    <row r="798" spans="3:12" ht="15.75" customHeight="1" x14ac:dyDescent="0.2">
      <c r="C798" s="6"/>
      <c r="F798" s="3"/>
      <c r="H798" s="3"/>
      <c r="J798" s="3"/>
      <c r="L798" s="3"/>
    </row>
    <row r="799" spans="3:12" ht="15.75" customHeight="1" x14ac:dyDescent="0.2">
      <c r="C799" s="6"/>
      <c r="F799" s="3"/>
      <c r="H799" s="3"/>
      <c r="J799" s="3"/>
      <c r="L799" s="3"/>
    </row>
    <row r="800" spans="3:12" ht="15.75" customHeight="1" x14ac:dyDescent="0.2">
      <c r="C800" s="6"/>
      <c r="F800" s="3"/>
      <c r="H800" s="3"/>
      <c r="J800" s="3"/>
      <c r="L800" s="3"/>
    </row>
    <row r="801" spans="3:12" ht="15.75" customHeight="1" x14ac:dyDescent="0.2">
      <c r="C801" s="6"/>
      <c r="F801" s="3"/>
      <c r="H801" s="3"/>
      <c r="J801" s="3"/>
      <c r="L801" s="3"/>
    </row>
    <row r="802" spans="3:12" ht="15.75" customHeight="1" x14ac:dyDescent="0.2">
      <c r="C802" s="6"/>
      <c r="F802" s="3"/>
      <c r="H802" s="3"/>
      <c r="J802" s="3"/>
      <c r="L802" s="3"/>
    </row>
    <row r="803" spans="3:12" ht="15.75" customHeight="1" x14ac:dyDescent="0.2">
      <c r="C803" s="6"/>
      <c r="F803" s="3"/>
      <c r="H803" s="3"/>
      <c r="J803" s="3"/>
      <c r="L803" s="3"/>
    </row>
    <row r="804" spans="3:12" ht="15.75" customHeight="1" x14ac:dyDescent="0.2">
      <c r="C804" s="6"/>
      <c r="F804" s="3"/>
      <c r="H804" s="3"/>
      <c r="J804" s="3"/>
      <c r="L804" s="3"/>
    </row>
    <row r="805" spans="3:12" ht="15.75" customHeight="1" x14ac:dyDescent="0.2">
      <c r="C805" s="6"/>
      <c r="F805" s="3"/>
      <c r="H805" s="3"/>
      <c r="J805" s="3"/>
      <c r="L805" s="3"/>
    </row>
    <row r="806" spans="3:12" ht="15.75" customHeight="1" x14ac:dyDescent="0.2">
      <c r="C806" s="6"/>
      <c r="F806" s="3"/>
      <c r="H806" s="3"/>
      <c r="J806" s="3"/>
      <c r="L806" s="3"/>
    </row>
    <row r="807" spans="3:12" ht="15.75" customHeight="1" x14ac:dyDescent="0.2">
      <c r="C807" s="6"/>
      <c r="F807" s="3"/>
      <c r="H807" s="3"/>
      <c r="J807" s="3"/>
      <c r="L807" s="3"/>
    </row>
    <row r="808" spans="3:12" ht="15.75" customHeight="1" x14ac:dyDescent="0.2">
      <c r="C808" s="6"/>
      <c r="F808" s="3"/>
      <c r="H808" s="3"/>
      <c r="J808" s="3"/>
      <c r="L808" s="3"/>
    </row>
    <row r="809" spans="3:12" ht="15.75" customHeight="1" x14ac:dyDescent="0.2">
      <c r="C809" s="6"/>
      <c r="F809" s="3"/>
      <c r="H809" s="3"/>
      <c r="J809" s="3"/>
      <c r="L809" s="3"/>
    </row>
    <row r="810" spans="3:12" ht="15.75" customHeight="1" x14ac:dyDescent="0.2">
      <c r="C810" s="6"/>
      <c r="F810" s="3"/>
      <c r="H810" s="3"/>
      <c r="J810" s="3"/>
      <c r="L810" s="3"/>
    </row>
    <row r="811" spans="3:12" ht="15.75" customHeight="1" x14ac:dyDescent="0.2">
      <c r="C811" s="6"/>
      <c r="F811" s="3"/>
      <c r="H811" s="3"/>
      <c r="J811" s="3"/>
      <c r="L811" s="3"/>
    </row>
    <row r="812" spans="3:12" ht="15.75" customHeight="1" x14ac:dyDescent="0.2">
      <c r="C812" s="6"/>
      <c r="F812" s="3"/>
      <c r="H812" s="3"/>
      <c r="J812" s="3"/>
      <c r="L812" s="3"/>
    </row>
    <row r="813" spans="3:12" ht="15.75" customHeight="1" x14ac:dyDescent="0.2">
      <c r="C813" s="6"/>
      <c r="F813" s="3"/>
      <c r="H813" s="3"/>
      <c r="J813" s="3"/>
      <c r="L813" s="3"/>
    </row>
    <row r="814" spans="3:12" ht="15.75" customHeight="1" x14ac:dyDescent="0.2">
      <c r="C814" s="6"/>
      <c r="F814" s="3"/>
      <c r="H814" s="3"/>
      <c r="J814" s="3"/>
      <c r="L814" s="3"/>
    </row>
    <row r="815" spans="3:12" ht="15.75" customHeight="1" x14ac:dyDescent="0.2">
      <c r="C815" s="6"/>
      <c r="F815" s="3"/>
      <c r="H815" s="3"/>
      <c r="J815" s="3"/>
      <c r="L815" s="3"/>
    </row>
    <row r="816" spans="3:12" ht="15.75" customHeight="1" x14ac:dyDescent="0.2">
      <c r="C816" s="6"/>
      <c r="F816" s="3"/>
      <c r="H816" s="3"/>
      <c r="J816" s="3"/>
      <c r="L816" s="3"/>
    </row>
    <row r="817" spans="3:12" ht="15.75" customHeight="1" x14ac:dyDescent="0.2">
      <c r="C817" s="6"/>
      <c r="F817" s="3"/>
      <c r="H817" s="3"/>
      <c r="J817" s="3"/>
      <c r="L817" s="3"/>
    </row>
    <row r="818" spans="3:12" ht="15.75" customHeight="1" x14ac:dyDescent="0.2">
      <c r="C818" s="6"/>
      <c r="F818" s="3"/>
      <c r="H818" s="3"/>
      <c r="J818" s="3"/>
      <c r="L818" s="3"/>
    </row>
    <row r="819" spans="3:12" ht="15.75" customHeight="1" x14ac:dyDescent="0.2">
      <c r="C819" s="6"/>
      <c r="F819" s="3"/>
      <c r="H819" s="3"/>
      <c r="J819" s="3"/>
      <c r="L819" s="3"/>
    </row>
    <row r="820" spans="3:12" ht="15.75" customHeight="1" x14ac:dyDescent="0.2">
      <c r="C820" s="6"/>
      <c r="F820" s="3"/>
      <c r="H820" s="3"/>
      <c r="J820" s="3"/>
      <c r="L820" s="3"/>
    </row>
    <row r="821" spans="3:12" ht="15.75" customHeight="1" x14ac:dyDescent="0.2">
      <c r="C821" s="6"/>
      <c r="F821" s="3"/>
      <c r="H821" s="3"/>
      <c r="J821" s="3"/>
      <c r="L821" s="3"/>
    </row>
    <row r="822" spans="3:12" ht="15.75" customHeight="1" x14ac:dyDescent="0.2">
      <c r="C822" s="6"/>
      <c r="F822" s="3"/>
      <c r="H822" s="3"/>
      <c r="J822" s="3"/>
      <c r="L822" s="3"/>
    </row>
    <row r="823" spans="3:12" ht="15.75" customHeight="1" x14ac:dyDescent="0.2">
      <c r="C823" s="6"/>
      <c r="F823" s="3"/>
      <c r="H823" s="3"/>
      <c r="J823" s="3"/>
      <c r="L823" s="3"/>
    </row>
    <row r="824" spans="3:12" ht="15.75" customHeight="1" x14ac:dyDescent="0.2">
      <c r="C824" s="6"/>
      <c r="F824" s="3"/>
      <c r="H824" s="3"/>
      <c r="J824" s="3"/>
      <c r="L824" s="3"/>
    </row>
    <row r="825" spans="3:12" ht="15.75" customHeight="1" x14ac:dyDescent="0.2">
      <c r="C825" s="6"/>
      <c r="F825" s="3"/>
      <c r="H825" s="3"/>
      <c r="J825" s="3"/>
      <c r="L825" s="3"/>
    </row>
    <row r="826" spans="3:12" ht="15.75" customHeight="1" x14ac:dyDescent="0.2">
      <c r="C826" s="6"/>
      <c r="F826" s="3"/>
      <c r="H826" s="3"/>
      <c r="J826" s="3"/>
      <c r="L826" s="3"/>
    </row>
    <row r="827" spans="3:12" ht="15.75" customHeight="1" x14ac:dyDescent="0.2">
      <c r="C827" s="6"/>
      <c r="F827" s="3"/>
      <c r="H827" s="3"/>
      <c r="J827" s="3"/>
      <c r="L827" s="3"/>
    </row>
    <row r="828" spans="3:12" ht="15.75" customHeight="1" x14ac:dyDescent="0.2">
      <c r="C828" s="6"/>
      <c r="F828" s="3"/>
      <c r="H828" s="3"/>
      <c r="J828" s="3"/>
      <c r="L828" s="3"/>
    </row>
    <row r="829" spans="3:12" ht="15.75" customHeight="1" x14ac:dyDescent="0.2">
      <c r="C829" s="6"/>
      <c r="F829" s="3"/>
      <c r="H829" s="3"/>
      <c r="J829" s="3"/>
      <c r="L829" s="3"/>
    </row>
    <row r="830" spans="3:12" ht="15.75" customHeight="1" x14ac:dyDescent="0.2">
      <c r="C830" s="6"/>
      <c r="F830" s="3"/>
      <c r="H830" s="3"/>
      <c r="J830" s="3"/>
      <c r="L830" s="3"/>
    </row>
    <row r="831" spans="3:12" ht="15.75" customHeight="1" x14ac:dyDescent="0.2">
      <c r="C831" s="6"/>
      <c r="F831" s="3"/>
      <c r="H831" s="3"/>
      <c r="J831" s="3"/>
      <c r="L831" s="3"/>
    </row>
    <row r="832" spans="3:12" ht="15.75" customHeight="1" x14ac:dyDescent="0.2">
      <c r="C832" s="6"/>
      <c r="F832" s="3"/>
      <c r="H832" s="3"/>
      <c r="J832" s="3"/>
      <c r="L832" s="3"/>
    </row>
    <row r="833" spans="3:12" ht="15.75" customHeight="1" x14ac:dyDescent="0.2">
      <c r="C833" s="6"/>
      <c r="F833" s="3"/>
      <c r="H833" s="3"/>
      <c r="J833" s="3"/>
      <c r="L833" s="3"/>
    </row>
    <row r="834" spans="3:12" ht="15.75" customHeight="1" x14ac:dyDescent="0.2">
      <c r="C834" s="6"/>
      <c r="F834" s="3"/>
      <c r="H834" s="3"/>
      <c r="J834" s="3"/>
      <c r="L834" s="3"/>
    </row>
    <row r="835" spans="3:12" ht="15.75" customHeight="1" x14ac:dyDescent="0.2">
      <c r="C835" s="6"/>
      <c r="F835" s="3"/>
      <c r="H835" s="3"/>
      <c r="J835" s="3"/>
      <c r="L835" s="3"/>
    </row>
    <row r="836" spans="3:12" ht="15.75" customHeight="1" x14ac:dyDescent="0.2">
      <c r="C836" s="6"/>
      <c r="F836" s="3"/>
      <c r="H836" s="3"/>
      <c r="J836" s="3"/>
      <c r="L836" s="3"/>
    </row>
    <row r="837" spans="3:12" ht="15.75" customHeight="1" x14ac:dyDescent="0.2">
      <c r="C837" s="6"/>
      <c r="F837" s="3"/>
      <c r="H837" s="3"/>
      <c r="J837" s="3"/>
      <c r="L837" s="3"/>
    </row>
    <row r="838" spans="3:12" ht="15.75" customHeight="1" x14ac:dyDescent="0.2">
      <c r="C838" s="6"/>
      <c r="F838" s="3"/>
      <c r="H838" s="3"/>
      <c r="J838" s="3"/>
      <c r="L838" s="3"/>
    </row>
    <row r="839" spans="3:12" ht="15.75" customHeight="1" x14ac:dyDescent="0.2">
      <c r="C839" s="6"/>
      <c r="F839" s="3"/>
      <c r="H839" s="3"/>
      <c r="J839" s="3"/>
      <c r="L839" s="3"/>
    </row>
    <row r="840" spans="3:12" ht="15.75" customHeight="1" x14ac:dyDescent="0.2">
      <c r="C840" s="6"/>
      <c r="F840" s="3"/>
      <c r="H840" s="3"/>
      <c r="J840" s="3"/>
      <c r="L840" s="3"/>
    </row>
    <row r="841" spans="3:12" ht="15.75" customHeight="1" x14ac:dyDescent="0.2">
      <c r="C841" s="6"/>
      <c r="F841" s="3"/>
      <c r="H841" s="3"/>
      <c r="J841" s="3"/>
      <c r="L841" s="3"/>
    </row>
    <row r="842" spans="3:12" ht="15.75" customHeight="1" x14ac:dyDescent="0.2">
      <c r="C842" s="6"/>
      <c r="F842" s="3"/>
      <c r="H842" s="3"/>
      <c r="J842" s="3"/>
      <c r="L842" s="3"/>
    </row>
    <row r="843" spans="3:12" ht="15.75" customHeight="1" x14ac:dyDescent="0.2">
      <c r="C843" s="6"/>
      <c r="F843" s="3"/>
      <c r="H843" s="3"/>
      <c r="J843" s="3"/>
      <c r="L843" s="3"/>
    </row>
    <row r="844" spans="3:12" ht="15.75" customHeight="1" x14ac:dyDescent="0.2">
      <c r="C844" s="6"/>
      <c r="F844" s="3"/>
      <c r="H844" s="3"/>
      <c r="J844" s="3"/>
      <c r="L844" s="3"/>
    </row>
    <row r="845" spans="3:12" ht="15.75" customHeight="1" x14ac:dyDescent="0.2">
      <c r="C845" s="6"/>
      <c r="F845" s="3"/>
      <c r="H845" s="3"/>
      <c r="J845" s="3"/>
      <c r="L845" s="3"/>
    </row>
    <row r="846" spans="3:12" ht="15.75" customHeight="1" x14ac:dyDescent="0.2">
      <c r="C846" s="6"/>
      <c r="F846" s="3"/>
      <c r="H846" s="3"/>
      <c r="J846" s="3"/>
      <c r="L846" s="3"/>
    </row>
    <row r="847" spans="3:12" ht="15.75" customHeight="1" x14ac:dyDescent="0.2">
      <c r="C847" s="6"/>
      <c r="F847" s="3"/>
      <c r="H847" s="3"/>
      <c r="J847" s="3"/>
      <c r="L847" s="3"/>
    </row>
    <row r="848" spans="3:12" ht="15.75" customHeight="1" x14ac:dyDescent="0.2">
      <c r="C848" s="6"/>
      <c r="F848" s="3"/>
      <c r="H848" s="3"/>
      <c r="J848" s="3"/>
      <c r="L848" s="3"/>
    </row>
    <row r="849" spans="3:12" ht="15.75" customHeight="1" x14ac:dyDescent="0.2">
      <c r="C849" s="6"/>
      <c r="F849" s="3"/>
      <c r="H849" s="3"/>
      <c r="J849" s="3"/>
      <c r="L849" s="3"/>
    </row>
    <row r="850" spans="3:12" ht="15.75" customHeight="1" x14ac:dyDescent="0.2">
      <c r="C850" s="6"/>
      <c r="F850" s="3"/>
      <c r="H850" s="3"/>
      <c r="J850" s="3"/>
      <c r="L850" s="3"/>
    </row>
    <row r="851" spans="3:12" ht="15.75" customHeight="1" x14ac:dyDescent="0.2">
      <c r="C851" s="6"/>
      <c r="F851" s="3"/>
      <c r="H851" s="3"/>
      <c r="J851" s="3"/>
      <c r="L851" s="3"/>
    </row>
    <row r="852" spans="3:12" ht="15.75" customHeight="1" x14ac:dyDescent="0.2">
      <c r="C852" s="6"/>
      <c r="F852" s="3"/>
      <c r="H852" s="3"/>
      <c r="J852" s="3"/>
      <c r="L852" s="3"/>
    </row>
    <row r="853" spans="3:12" ht="15.75" customHeight="1" x14ac:dyDescent="0.2">
      <c r="C853" s="6"/>
      <c r="F853" s="3"/>
      <c r="H853" s="3"/>
      <c r="J853" s="3"/>
      <c r="L853" s="3"/>
    </row>
    <row r="854" spans="3:12" ht="15.75" customHeight="1" x14ac:dyDescent="0.2">
      <c r="C854" s="6"/>
      <c r="F854" s="3"/>
      <c r="H854" s="3"/>
      <c r="J854" s="3"/>
      <c r="L854" s="3"/>
    </row>
    <row r="855" spans="3:12" ht="15.75" customHeight="1" x14ac:dyDescent="0.2">
      <c r="C855" s="6"/>
      <c r="F855" s="3"/>
      <c r="H855" s="3"/>
      <c r="J855" s="3"/>
      <c r="L855" s="3"/>
    </row>
    <row r="856" spans="3:12" ht="15.75" customHeight="1" x14ac:dyDescent="0.2">
      <c r="C856" s="6"/>
      <c r="F856" s="3"/>
      <c r="H856" s="3"/>
      <c r="J856" s="3"/>
      <c r="L856" s="3"/>
    </row>
    <row r="857" spans="3:12" ht="15.75" customHeight="1" x14ac:dyDescent="0.2">
      <c r="C857" s="6"/>
      <c r="F857" s="3"/>
      <c r="H857" s="3"/>
      <c r="J857" s="3"/>
      <c r="L857" s="3"/>
    </row>
    <row r="858" spans="3:12" ht="15.75" customHeight="1" x14ac:dyDescent="0.2">
      <c r="C858" s="6"/>
      <c r="F858" s="3"/>
      <c r="H858" s="3"/>
      <c r="J858" s="3"/>
      <c r="L858" s="3"/>
    </row>
    <row r="859" spans="3:12" ht="15.75" customHeight="1" x14ac:dyDescent="0.2">
      <c r="C859" s="6"/>
      <c r="F859" s="3"/>
      <c r="H859" s="3"/>
      <c r="J859" s="3"/>
      <c r="L859" s="3"/>
    </row>
    <row r="860" spans="3:12" ht="15.75" customHeight="1" x14ac:dyDescent="0.2">
      <c r="C860" s="6"/>
      <c r="F860" s="3"/>
      <c r="H860" s="3"/>
      <c r="J860" s="3"/>
      <c r="L860" s="3"/>
    </row>
    <row r="861" spans="3:12" ht="15.75" customHeight="1" x14ac:dyDescent="0.2">
      <c r="C861" s="6"/>
      <c r="F861" s="3"/>
      <c r="H861" s="3"/>
      <c r="J861" s="3"/>
      <c r="L861" s="3"/>
    </row>
    <row r="862" spans="3:12" ht="15.75" customHeight="1" x14ac:dyDescent="0.2">
      <c r="C862" s="6"/>
      <c r="F862" s="3"/>
      <c r="H862" s="3"/>
      <c r="J862" s="3"/>
      <c r="L862" s="3"/>
    </row>
    <row r="863" spans="3:12" ht="15.75" customHeight="1" x14ac:dyDescent="0.2">
      <c r="C863" s="6"/>
      <c r="F863" s="3"/>
      <c r="H863" s="3"/>
      <c r="J863" s="3"/>
      <c r="L863" s="3"/>
    </row>
    <row r="864" spans="3:12" ht="15.75" customHeight="1" x14ac:dyDescent="0.2">
      <c r="C864" s="6"/>
      <c r="F864" s="3"/>
      <c r="H864" s="3"/>
      <c r="J864" s="3"/>
      <c r="L864" s="3"/>
    </row>
    <row r="865" spans="3:12" ht="15.75" customHeight="1" x14ac:dyDescent="0.2">
      <c r="C865" s="6"/>
      <c r="F865" s="3"/>
      <c r="H865" s="3"/>
      <c r="J865" s="3"/>
      <c r="L865" s="3"/>
    </row>
    <row r="866" spans="3:12" ht="15.75" customHeight="1" x14ac:dyDescent="0.2">
      <c r="C866" s="6"/>
      <c r="F866" s="3"/>
      <c r="H866" s="3"/>
      <c r="J866" s="3"/>
      <c r="L866" s="3"/>
    </row>
    <row r="867" spans="3:12" ht="15.75" customHeight="1" x14ac:dyDescent="0.2">
      <c r="C867" s="6"/>
      <c r="F867" s="3"/>
      <c r="H867" s="3"/>
      <c r="J867" s="3"/>
      <c r="L867" s="3"/>
    </row>
    <row r="868" spans="3:12" ht="15.75" customHeight="1" x14ac:dyDescent="0.2">
      <c r="C868" s="6"/>
      <c r="F868" s="3"/>
      <c r="H868" s="3"/>
      <c r="J868" s="3"/>
      <c r="L868" s="3"/>
    </row>
    <row r="869" spans="3:12" ht="15.75" customHeight="1" x14ac:dyDescent="0.2">
      <c r="C869" s="6"/>
      <c r="F869" s="3"/>
      <c r="H869" s="3"/>
      <c r="J869" s="3"/>
      <c r="L869" s="3"/>
    </row>
    <row r="870" spans="3:12" ht="15.75" customHeight="1" x14ac:dyDescent="0.2">
      <c r="C870" s="6"/>
      <c r="F870" s="3"/>
      <c r="H870" s="3"/>
      <c r="J870" s="3"/>
      <c r="L870" s="3"/>
    </row>
    <row r="871" spans="3:12" ht="15.75" customHeight="1" x14ac:dyDescent="0.2">
      <c r="C871" s="6"/>
      <c r="F871" s="3"/>
      <c r="H871" s="3"/>
      <c r="J871" s="3"/>
      <c r="L871" s="3"/>
    </row>
    <row r="872" spans="3:12" ht="15.75" customHeight="1" x14ac:dyDescent="0.2">
      <c r="C872" s="6"/>
      <c r="F872" s="3"/>
      <c r="H872" s="3"/>
      <c r="J872" s="3"/>
      <c r="L872" s="3"/>
    </row>
    <row r="873" spans="3:12" ht="15.75" customHeight="1" x14ac:dyDescent="0.2">
      <c r="C873" s="6"/>
      <c r="F873" s="3"/>
      <c r="H873" s="3"/>
      <c r="J873" s="3"/>
      <c r="L873" s="3"/>
    </row>
    <row r="874" spans="3:12" ht="15.75" customHeight="1" x14ac:dyDescent="0.2">
      <c r="C874" s="6"/>
      <c r="F874" s="3"/>
      <c r="H874" s="3"/>
      <c r="J874" s="3"/>
      <c r="L874" s="3"/>
    </row>
    <row r="875" spans="3:12" ht="15.75" customHeight="1" x14ac:dyDescent="0.2">
      <c r="C875" s="6"/>
      <c r="F875" s="3"/>
      <c r="H875" s="3"/>
      <c r="J875" s="3"/>
      <c r="L875" s="3"/>
    </row>
    <row r="876" spans="3:12" ht="15.75" customHeight="1" x14ac:dyDescent="0.2">
      <c r="C876" s="6"/>
      <c r="F876" s="3"/>
      <c r="H876" s="3"/>
      <c r="J876" s="3"/>
      <c r="L876" s="3"/>
    </row>
    <row r="877" spans="3:12" ht="15.75" customHeight="1" x14ac:dyDescent="0.2">
      <c r="C877" s="6"/>
      <c r="F877" s="3"/>
      <c r="H877" s="3"/>
      <c r="J877" s="3"/>
      <c r="L877" s="3"/>
    </row>
    <row r="878" spans="3:12" ht="15.75" customHeight="1" x14ac:dyDescent="0.2">
      <c r="C878" s="6"/>
      <c r="F878" s="3"/>
      <c r="H878" s="3"/>
      <c r="J878" s="3"/>
      <c r="L878" s="3"/>
    </row>
    <row r="879" spans="3:12" ht="15.75" customHeight="1" x14ac:dyDescent="0.2">
      <c r="C879" s="6"/>
      <c r="F879" s="3"/>
      <c r="H879" s="3"/>
      <c r="J879" s="3"/>
      <c r="L879" s="3"/>
    </row>
    <row r="880" spans="3:12" ht="15.75" customHeight="1" x14ac:dyDescent="0.2">
      <c r="C880" s="6"/>
      <c r="F880" s="3"/>
      <c r="H880" s="3"/>
      <c r="J880" s="3"/>
      <c r="L880" s="3"/>
    </row>
    <row r="881" spans="3:12" ht="15.75" customHeight="1" x14ac:dyDescent="0.2">
      <c r="C881" s="6"/>
      <c r="F881" s="3"/>
      <c r="H881" s="3"/>
      <c r="J881" s="3"/>
      <c r="L881" s="3"/>
    </row>
    <row r="882" spans="3:12" ht="15.75" customHeight="1" x14ac:dyDescent="0.2">
      <c r="C882" s="6"/>
      <c r="F882" s="3"/>
      <c r="H882" s="3"/>
      <c r="J882" s="3"/>
      <c r="L882" s="3"/>
    </row>
    <row r="883" spans="3:12" ht="15.75" customHeight="1" x14ac:dyDescent="0.2">
      <c r="C883" s="6"/>
      <c r="F883" s="3"/>
      <c r="H883" s="3"/>
      <c r="J883" s="3"/>
      <c r="L883" s="3"/>
    </row>
    <row r="884" spans="3:12" ht="15.75" customHeight="1" x14ac:dyDescent="0.2">
      <c r="C884" s="6"/>
      <c r="F884" s="3"/>
      <c r="H884" s="3"/>
      <c r="J884" s="3"/>
      <c r="L884" s="3"/>
    </row>
    <row r="885" spans="3:12" ht="15.75" customHeight="1" x14ac:dyDescent="0.2">
      <c r="C885" s="6"/>
      <c r="F885" s="3"/>
      <c r="H885" s="3"/>
      <c r="J885" s="3"/>
      <c r="L885" s="3"/>
    </row>
    <row r="886" spans="3:12" ht="15.75" customHeight="1" x14ac:dyDescent="0.2">
      <c r="C886" s="6"/>
      <c r="F886" s="3"/>
      <c r="H886" s="3"/>
      <c r="J886" s="3"/>
      <c r="L886" s="3"/>
    </row>
    <row r="887" spans="3:12" ht="15.75" customHeight="1" x14ac:dyDescent="0.2">
      <c r="C887" s="6"/>
      <c r="F887" s="3"/>
      <c r="H887" s="3"/>
      <c r="J887" s="3"/>
      <c r="L887" s="3"/>
    </row>
    <row r="888" spans="3:12" ht="15.75" customHeight="1" x14ac:dyDescent="0.2">
      <c r="C888" s="6"/>
      <c r="F888" s="3"/>
      <c r="H888" s="3"/>
      <c r="J888" s="3"/>
      <c r="L888" s="3"/>
    </row>
    <row r="889" spans="3:12" ht="15.75" customHeight="1" x14ac:dyDescent="0.2">
      <c r="C889" s="6"/>
      <c r="F889" s="3"/>
      <c r="H889" s="3"/>
      <c r="J889" s="3"/>
      <c r="L889" s="3"/>
    </row>
    <row r="890" spans="3:12" ht="15.75" customHeight="1" x14ac:dyDescent="0.2">
      <c r="C890" s="6"/>
      <c r="F890" s="3"/>
      <c r="H890" s="3"/>
      <c r="J890" s="3"/>
      <c r="L890" s="3"/>
    </row>
    <row r="891" spans="3:12" ht="15.75" customHeight="1" x14ac:dyDescent="0.2">
      <c r="C891" s="6"/>
      <c r="F891" s="3"/>
      <c r="H891" s="3"/>
      <c r="J891" s="3"/>
      <c r="L891" s="3"/>
    </row>
    <row r="892" spans="3:12" ht="15.75" customHeight="1" x14ac:dyDescent="0.2">
      <c r="C892" s="6"/>
      <c r="F892" s="3"/>
      <c r="H892" s="3"/>
      <c r="J892" s="3"/>
      <c r="L892" s="3"/>
    </row>
    <row r="893" spans="3:12" ht="15.75" customHeight="1" x14ac:dyDescent="0.2">
      <c r="C893" s="6"/>
      <c r="F893" s="3"/>
      <c r="H893" s="3"/>
      <c r="J893" s="3"/>
      <c r="L893" s="3"/>
    </row>
    <row r="894" spans="3:12" ht="15.75" customHeight="1" x14ac:dyDescent="0.2">
      <c r="C894" s="6"/>
      <c r="F894" s="3"/>
      <c r="H894" s="3"/>
      <c r="J894" s="3"/>
      <c r="L894" s="3"/>
    </row>
    <row r="895" spans="3:12" ht="15.75" customHeight="1" x14ac:dyDescent="0.2">
      <c r="C895" s="6"/>
      <c r="F895" s="3"/>
      <c r="H895" s="3"/>
      <c r="J895" s="3"/>
      <c r="L895" s="3"/>
    </row>
    <row r="896" spans="3:12" ht="15.75" customHeight="1" x14ac:dyDescent="0.2">
      <c r="C896" s="6"/>
      <c r="F896" s="3"/>
      <c r="H896" s="3"/>
      <c r="J896" s="3"/>
      <c r="L896" s="3"/>
    </row>
    <row r="897" spans="3:12" ht="15.75" customHeight="1" x14ac:dyDescent="0.2">
      <c r="C897" s="6"/>
      <c r="F897" s="3"/>
      <c r="H897" s="3"/>
      <c r="J897" s="3"/>
      <c r="L897" s="3"/>
    </row>
    <row r="898" spans="3:12" ht="15.75" customHeight="1" x14ac:dyDescent="0.2">
      <c r="C898" s="6"/>
      <c r="F898" s="3"/>
      <c r="H898" s="3"/>
      <c r="J898" s="3"/>
      <c r="L898" s="3"/>
    </row>
    <row r="899" spans="3:12" ht="15.75" customHeight="1" x14ac:dyDescent="0.2">
      <c r="C899" s="6"/>
      <c r="F899" s="3"/>
      <c r="H899" s="3"/>
      <c r="J899" s="3"/>
      <c r="L899" s="3"/>
    </row>
    <row r="900" spans="3:12" ht="15.75" customHeight="1" x14ac:dyDescent="0.2">
      <c r="C900" s="6"/>
      <c r="F900" s="3"/>
      <c r="H900" s="3"/>
      <c r="J900" s="3"/>
      <c r="L900" s="3"/>
    </row>
    <row r="901" spans="3:12" ht="15.75" customHeight="1" x14ac:dyDescent="0.2">
      <c r="C901" s="6"/>
      <c r="F901" s="3"/>
      <c r="H901" s="3"/>
      <c r="J901" s="3"/>
      <c r="L901" s="3"/>
    </row>
    <row r="902" spans="3:12" ht="15.75" customHeight="1" x14ac:dyDescent="0.2">
      <c r="C902" s="6"/>
      <c r="F902" s="3"/>
      <c r="H902" s="3"/>
      <c r="J902" s="3"/>
      <c r="L902" s="3"/>
    </row>
    <row r="903" spans="3:12" ht="15.75" customHeight="1" x14ac:dyDescent="0.2">
      <c r="C903" s="6"/>
      <c r="F903" s="3"/>
      <c r="H903" s="3"/>
      <c r="J903" s="3"/>
      <c r="L903" s="3"/>
    </row>
    <row r="904" spans="3:12" ht="15.75" customHeight="1" x14ac:dyDescent="0.2">
      <c r="C904" s="6"/>
      <c r="F904" s="3"/>
      <c r="H904" s="3"/>
      <c r="J904" s="3"/>
      <c r="L904" s="3"/>
    </row>
    <row r="905" spans="3:12" ht="15.75" customHeight="1" x14ac:dyDescent="0.2">
      <c r="C905" s="6"/>
      <c r="F905" s="3"/>
      <c r="H905" s="3"/>
      <c r="J905" s="3"/>
      <c r="L905" s="3"/>
    </row>
    <row r="906" spans="3:12" ht="15.75" customHeight="1" x14ac:dyDescent="0.2">
      <c r="C906" s="6"/>
      <c r="F906" s="3"/>
      <c r="H906" s="3"/>
      <c r="J906" s="3"/>
      <c r="L906" s="3"/>
    </row>
    <row r="907" spans="3:12" ht="15.75" customHeight="1" x14ac:dyDescent="0.2">
      <c r="C907" s="6"/>
      <c r="F907" s="3"/>
      <c r="H907" s="3"/>
      <c r="J907" s="3"/>
      <c r="L907" s="3"/>
    </row>
    <row r="908" spans="3:12" ht="15.75" customHeight="1" x14ac:dyDescent="0.2">
      <c r="C908" s="6"/>
      <c r="F908" s="3"/>
      <c r="H908" s="3"/>
      <c r="J908" s="3"/>
      <c r="L908" s="3"/>
    </row>
    <row r="909" spans="3:12" ht="15.75" customHeight="1" x14ac:dyDescent="0.2">
      <c r="C909" s="6"/>
      <c r="F909" s="3"/>
      <c r="H909" s="3"/>
      <c r="J909" s="3"/>
      <c r="L909" s="3"/>
    </row>
    <row r="910" spans="3:12" ht="15.75" customHeight="1" x14ac:dyDescent="0.2">
      <c r="C910" s="6"/>
      <c r="F910" s="3"/>
      <c r="H910" s="3"/>
      <c r="J910" s="3"/>
      <c r="L910" s="3"/>
    </row>
    <row r="911" spans="3:12" ht="15.75" customHeight="1" x14ac:dyDescent="0.2">
      <c r="C911" s="6"/>
      <c r="F911" s="3"/>
      <c r="H911" s="3"/>
      <c r="J911" s="3"/>
      <c r="L911" s="3"/>
    </row>
    <row r="912" spans="3:12" ht="15.75" customHeight="1" x14ac:dyDescent="0.2">
      <c r="C912" s="6"/>
      <c r="F912" s="3"/>
      <c r="H912" s="3"/>
      <c r="J912" s="3"/>
      <c r="L912" s="3"/>
    </row>
    <row r="913" spans="3:12" ht="15.75" customHeight="1" x14ac:dyDescent="0.2">
      <c r="C913" s="6"/>
      <c r="F913" s="3"/>
      <c r="H913" s="3"/>
      <c r="J913" s="3"/>
      <c r="L913" s="3"/>
    </row>
    <row r="914" spans="3:12" ht="15.75" customHeight="1" x14ac:dyDescent="0.2">
      <c r="C914" s="6"/>
      <c r="F914" s="3"/>
      <c r="H914" s="3"/>
      <c r="J914" s="3"/>
      <c r="L914" s="3"/>
    </row>
    <row r="915" spans="3:12" ht="15.75" customHeight="1" x14ac:dyDescent="0.2">
      <c r="C915" s="6"/>
      <c r="F915" s="3"/>
      <c r="H915" s="3"/>
      <c r="J915" s="3"/>
      <c r="L915" s="3"/>
    </row>
    <row r="916" spans="3:12" ht="15.75" customHeight="1" x14ac:dyDescent="0.2">
      <c r="C916" s="6"/>
      <c r="F916" s="3"/>
      <c r="H916" s="3"/>
      <c r="J916" s="3"/>
      <c r="L916" s="3"/>
    </row>
    <row r="917" spans="3:12" ht="15.75" customHeight="1" x14ac:dyDescent="0.2">
      <c r="C917" s="6"/>
      <c r="F917" s="3"/>
      <c r="H917" s="3"/>
      <c r="J917" s="3"/>
      <c r="L917" s="3"/>
    </row>
    <row r="918" spans="3:12" ht="15.75" customHeight="1" x14ac:dyDescent="0.2">
      <c r="C918" s="6"/>
      <c r="F918" s="3"/>
      <c r="H918" s="3"/>
      <c r="J918" s="3"/>
      <c r="L918" s="3"/>
    </row>
    <row r="919" spans="3:12" ht="15.75" customHeight="1" x14ac:dyDescent="0.2">
      <c r="C919" s="6"/>
      <c r="F919" s="3"/>
      <c r="H919" s="3"/>
      <c r="J919" s="3"/>
      <c r="L919" s="3"/>
    </row>
    <row r="920" spans="3:12" ht="15.75" customHeight="1" x14ac:dyDescent="0.2">
      <c r="C920" s="6"/>
      <c r="F920" s="3"/>
      <c r="H920" s="3"/>
      <c r="J920" s="3"/>
      <c r="L920" s="3"/>
    </row>
    <row r="921" spans="3:12" ht="15.75" customHeight="1" x14ac:dyDescent="0.2">
      <c r="C921" s="6"/>
      <c r="F921" s="3"/>
      <c r="H921" s="3"/>
      <c r="J921" s="3"/>
      <c r="L921" s="3"/>
    </row>
    <row r="922" spans="3:12" ht="15.75" customHeight="1" x14ac:dyDescent="0.2">
      <c r="C922" s="6"/>
      <c r="F922" s="3"/>
      <c r="H922" s="3"/>
      <c r="J922" s="3"/>
      <c r="L922" s="3"/>
    </row>
    <row r="923" spans="3:12" ht="15.75" customHeight="1" x14ac:dyDescent="0.2">
      <c r="C923" s="6"/>
      <c r="F923" s="3"/>
      <c r="H923" s="3"/>
      <c r="J923" s="3"/>
      <c r="L923" s="3"/>
    </row>
    <row r="924" spans="3:12" ht="15.75" customHeight="1" x14ac:dyDescent="0.2">
      <c r="C924" s="6"/>
      <c r="F924" s="3"/>
      <c r="H924" s="3"/>
      <c r="J924" s="3"/>
      <c r="L924" s="3"/>
    </row>
    <row r="925" spans="3:12" ht="15.75" customHeight="1" x14ac:dyDescent="0.2">
      <c r="C925" s="6"/>
      <c r="F925" s="3"/>
      <c r="H925" s="3"/>
      <c r="J925" s="3"/>
      <c r="L925" s="3"/>
    </row>
    <row r="926" spans="3:12" ht="15.75" customHeight="1" x14ac:dyDescent="0.2">
      <c r="C926" s="6"/>
      <c r="F926" s="3"/>
      <c r="H926" s="3"/>
      <c r="J926" s="3"/>
      <c r="L926" s="3"/>
    </row>
    <row r="927" spans="3:12" ht="15.75" customHeight="1" x14ac:dyDescent="0.2">
      <c r="C927" s="6"/>
      <c r="F927" s="3"/>
      <c r="H927" s="3"/>
      <c r="J927" s="3"/>
      <c r="L927" s="3"/>
    </row>
    <row r="928" spans="3:12" ht="15.75" customHeight="1" x14ac:dyDescent="0.2">
      <c r="C928" s="6"/>
      <c r="F928" s="3"/>
      <c r="H928" s="3"/>
      <c r="J928" s="3"/>
      <c r="L928" s="3"/>
    </row>
    <row r="929" spans="3:12" ht="15.75" customHeight="1" x14ac:dyDescent="0.2">
      <c r="C929" s="6"/>
      <c r="F929" s="3"/>
      <c r="H929" s="3"/>
      <c r="J929" s="3"/>
      <c r="L929" s="3"/>
    </row>
    <row r="930" spans="3:12" ht="15.75" customHeight="1" x14ac:dyDescent="0.2">
      <c r="C930" s="6"/>
      <c r="F930" s="3"/>
      <c r="H930" s="3"/>
      <c r="J930" s="3"/>
      <c r="L930" s="3"/>
    </row>
    <row r="931" spans="3:12" ht="15.75" customHeight="1" x14ac:dyDescent="0.2">
      <c r="C931" s="6"/>
      <c r="F931" s="3"/>
      <c r="H931" s="3"/>
      <c r="J931" s="3"/>
      <c r="L931" s="3"/>
    </row>
    <row r="932" spans="3:12" ht="15.75" customHeight="1" x14ac:dyDescent="0.2">
      <c r="C932" s="6"/>
      <c r="F932" s="3"/>
      <c r="H932" s="3"/>
      <c r="J932" s="3"/>
      <c r="L932" s="3"/>
    </row>
    <row r="933" spans="3:12" ht="15.75" customHeight="1" x14ac:dyDescent="0.2">
      <c r="C933" s="6"/>
      <c r="F933" s="3"/>
      <c r="H933" s="3"/>
      <c r="J933" s="3"/>
      <c r="L933" s="3"/>
    </row>
    <row r="934" spans="3:12" ht="15.75" customHeight="1" x14ac:dyDescent="0.2">
      <c r="C934" s="6"/>
      <c r="F934" s="3"/>
      <c r="H934" s="3"/>
      <c r="J934" s="3"/>
      <c r="L934" s="3"/>
    </row>
    <row r="935" spans="3:12" ht="15.75" customHeight="1" x14ac:dyDescent="0.2">
      <c r="C935" s="6"/>
      <c r="F935" s="3"/>
      <c r="H935" s="3"/>
      <c r="J935" s="3"/>
      <c r="L935" s="3"/>
    </row>
    <row r="936" spans="3:12" ht="15.75" customHeight="1" x14ac:dyDescent="0.2">
      <c r="C936" s="6"/>
      <c r="F936" s="3"/>
      <c r="H936" s="3"/>
      <c r="J936" s="3"/>
      <c r="L936" s="3"/>
    </row>
    <row r="937" spans="3:12" ht="15.75" customHeight="1" x14ac:dyDescent="0.2">
      <c r="C937" s="6"/>
      <c r="F937" s="3"/>
      <c r="H937" s="3"/>
      <c r="J937" s="3"/>
      <c r="L937" s="3"/>
    </row>
    <row r="938" spans="3:12" ht="15.75" customHeight="1" x14ac:dyDescent="0.2">
      <c r="C938" s="6"/>
      <c r="F938" s="3"/>
      <c r="H938" s="3"/>
      <c r="J938" s="3"/>
      <c r="L938" s="3"/>
    </row>
    <row r="939" spans="3:12" ht="15.75" customHeight="1" x14ac:dyDescent="0.2">
      <c r="C939" s="6"/>
      <c r="F939" s="3"/>
      <c r="H939" s="3"/>
      <c r="J939" s="3"/>
      <c r="L939" s="3"/>
    </row>
    <row r="940" spans="3:12" ht="15.75" customHeight="1" x14ac:dyDescent="0.2">
      <c r="C940" s="6"/>
      <c r="F940" s="3"/>
      <c r="H940" s="3"/>
      <c r="J940" s="3"/>
      <c r="L940" s="3"/>
    </row>
    <row r="941" spans="3:12" ht="15.75" customHeight="1" x14ac:dyDescent="0.2">
      <c r="C941" s="6"/>
      <c r="F941" s="3"/>
      <c r="H941" s="3"/>
      <c r="J941" s="3"/>
      <c r="L941" s="3"/>
    </row>
    <row r="942" spans="3:12" ht="15.75" customHeight="1" x14ac:dyDescent="0.2">
      <c r="C942" s="6"/>
      <c r="F942" s="3"/>
      <c r="H942" s="3"/>
      <c r="J942" s="3"/>
      <c r="L942" s="3"/>
    </row>
    <row r="943" spans="3:12" ht="15.75" customHeight="1" x14ac:dyDescent="0.2">
      <c r="C943" s="6"/>
      <c r="F943" s="3"/>
      <c r="H943" s="3"/>
      <c r="J943" s="3"/>
      <c r="L943" s="3"/>
    </row>
    <row r="944" spans="3:12" ht="15.75" customHeight="1" x14ac:dyDescent="0.2">
      <c r="C944" s="6"/>
      <c r="F944" s="3"/>
      <c r="H944" s="3"/>
      <c r="J944" s="3"/>
      <c r="L944" s="3"/>
    </row>
    <row r="945" spans="3:12" ht="15.75" customHeight="1" x14ac:dyDescent="0.2">
      <c r="C945" s="6"/>
      <c r="F945" s="3"/>
      <c r="H945" s="3"/>
      <c r="J945" s="3"/>
      <c r="L945" s="3"/>
    </row>
    <row r="946" spans="3:12" ht="15.75" customHeight="1" x14ac:dyDescent="0.2">
      <c r="C946" s="6"/>
      <c r="F946" s="3"/>
      <c r="H946" s="3"/>
      <c r="J946" s="3"/>
      <c r="L946" s="3"/>
    </row>
    <row r="947" spans="3:12" ht="15.75" customHeight="1" x14ac:dyDescent="0.2">
      <c r="C947" s="6"/>
      <c r="F947" s="3"/>
      <c r="H947" s="3"/>
      <c r="J947" s="3"/>
      <c r="L947" s="3"/>
    </row>
    <row r="948" spans="3:12" ht="15.75" customHeight="1" x14ac:dyDescent="0.2">
      <c r="C948" s="6"/>
      <c r="F948" s="3"/>
      <c r="H948" s="3"/>
      <c r="J948" s="3"/>
      <c r="L948" s="3"/>
    </row>
    <row r="949" spans="3:12" ht="15.75" customHeight="1" x14ac:dyDescent="0.2">
      <c r="C949" s="6"/>
      <c r="F949" s="3"/>
      <c r="H949" s="3"/>
      <c r="J949" s="3"/>
      <c r="L949" s="3"/>
    </row>
    <row r="950" spans="3:12" ht="15.75" customHeight="1" x14ac:dyDescent="0.2">
      <c r="C950" s="6"/>
      <c r="F950" s="3"/>
      <c r="H950" s="3"/>
      <c r="J950" s="3"/>
      <c r="L950" s="3"/>
    </row>
    <row r="951" spans="3:12" ht="15.75" customHeight="1" x14ac:dyDescent="0.2">
      <c r="C951" s="6"/>
      <c r="F951" s="3"/>
      <c r="H951" s="3"/>
      <c r="J951" s="3"/>
      <c r="L951" s="3"/>
    </row>
    <row r="952" spans="3:12" ht="15.75" customHeight="1" x14ac:dyDescent="0.2">
      <c r="C952" s="6"/>
      <c r="F952" s="3"/>
      <c r="H952" s="3"/>
      <c r="J952" s="3"/>
      <c r="L952" s="3"/>
    </row>
    <row r="953" spans="3:12" ht="15.75" customHeight="1" x14ac:dyDescent="0.2">
      <c r="C953" s="6"/>
      <c r="F953" s="3"/>
      <c r="H953" s="3"/>
      <c r="J953" s="3"/>
      <c r="L953" s="3"/>
    </row>
    <row r="954" spans="3:12" ht="15.75" customHeight="1" x14ac:dyDescent="0.2">
      <c r="C954" s="6"/>
      <c r="F954" s="3"/>
      <c r="H954" s="3"/>
      <c r="J954" s="3"/>
      <c r="L954" s="3"/>
    </row>
    <row r="955" spans="3:12" ht="15.75" customHeight="1" x14ac:dyDescent="0.2">
      <c r="C955" s="6"/>
      <c r="F955" s="3"/>
      <c r="H955" s="3"/>
      <c r="J955" s="3"/>
      <c r="L955" s="3"/>
    </row>
    <row r="956" spans="3:12" ht="15.75" customHeight="1" x14ac:dyDescent="0.2">
      <c r="C956" s="6"/>
      <c r="F956" s="3"/>
      <c r="H956" s="3"/>
      <c r="J956" s="3"/>
      <c r="L956" s="3"/>
    </row>
    <row r="957" spans="3:12" ht="15.75" customHeight="1" x14ac:dyDescent="0.2">
      <c r="C957" s="6"/>
      <c r="F957" s="3"/>
      <c r="H957" s="3"/>
      <c r="J957" s="3"/>
      <c r="L957" s="3"/>
    </row>
    <row r="958" spans="3:12" ht="15.75" customHeight="1" x14ac:dyDescent="0.2">
      <c r="C958" s="6"/>
      <c r="F958" s="3"/>
      <c r="H958" s="3"/>
      <c r="J958" s="3"/>
      <c r="L958" s="3"/>
    </row>
    <row r="959" spans="3:12" ht="15.75" customHeight="1" x14ac:dyDescent="0.2">
      <c r="C959" s="6"/>
      <c r="F959" s="3"/>
      <c r="H959" s="3"/>
      <c r="J959" s="3"/>
      <c r="L959" s="3"/>
    </row>
    <row r="960" spans="3:12" ht="15.75" customHeight="1" x14ac:dyDescent="0.2">
      <c r="C960" s="6"/>
      <c r="F960" s="3"/>
      <c r="H960" s="3"/>
      <c r="J960" s="3"/>
      <c r="L960" s="3"/>
    </row>
    <row r="961" spans="3:12" ht="15.75" customHeight="1" x14ac:dyDescent="0.2">
      <c r="C961" s="6"/>
      <c r="F961" s="3"/>
      <c r="H961" s="3"/>
      <c r="J961" s="3"/>
      <c r="L961" s="3"/>
    </row>
    <row r="962" spans="3:12" ht="15.75" customHeight="1" x14ac:dyDescent="0.2">
      <c r="C962" s="6"/>
      <c r="F962" s="3"/>
      <c r="H962" s="3"/>
      <c r="J962" s="3"/>
      <c r="L962" s="3"/>
    </row>
    <row r="963" spans="3:12" ht="15.75" customHeight="1" x14ac:dyDescent="0.2">
      <c r="C963" s="6"/>
      <c r="F963" s="3"/>
      <c r="H963" s="3"/>
      <c r="J963" s="3"/>
      <c r="L963" s="3"/>
    </row>
    <row r="964" spans="3:12" ht="15.75" customHeight="1" x14ac:dyDescent="0.2">
      <c r="C964" s="6"/>
      <c r="F964" s="3"/>
      <c r="H964" s="3"/>
      <c r="J964" s="3"/>
      <c r="L964" s="3"/>
    </row>
    <row r="965" spans="3:12" ht="15.75" customHeight="1" x14ac:dyDescent="0.2">
      <c r="C965" s="6"/>
      <c r="F965" s="3"/>
      <c r="H965" s="3"/>
      <c r="J965" s="3"/>
      <c r="L965" s="3"/>
    </row>
    <row r="966" spans="3:12" ht="15.75" customHeight="1" x14ac:dyDescent="0.2">
      <c r="C966" s="6"/>
      <c r="F966" s="3"/>
      <c r="H966" s="3"/>
      <c r="J966" s="3"/>
      <c r="L966" s="3"/>
    </row>
    <row r="967" spans="3:12" ht="15.75" customHeight="1" x14ac:dyDescent="0.2">
      <c r="C967" s="6"/>
      <c r="F967" s="3"/>
      <c r="H967" s="3"/>
      <c r="J967" s="3"/>
      <c r="L967" s="3"/>
    </row>
    <row r="968" spans="3:12" ht="15.75" customHeight="1" x14ac:dyDescent="0.2">
      <c r="C968" s="6"/>
      <c r="F968" s="3"/>
      <c r="H968" s="3"/>
      <c r="J968" s="3"/>
      <c r="L968" s="3"/>
    </row>
    <row r="969" spans="3:12" ht="15.75" customHeight="1" x14ac:dyDescent="0.2">
      <c r="C969" s="6"/>
      <c r="F969" s="3"/>
      <c r="H969" s="3"/>
      <c r="J969" s="3"/>
      <c r="L969" s="3"/>
    </row>
    <row r="970" spans="3:12" ht="15.75" customHeight="1" x14ac:dyDescent="0.2">
      <c r="C970" s="6"/>
      <c r="F970" s="3"/>
      <c r="H970" s="3"/>
      <c r="J970" s="3"/>
      <c r="L970" s="3"/>
    </row>
    <row r="971" spans="3:12" ht="15.75" customHeight="1" x14ac:dyDescent="0.2">
      <c r="C971" s="6"/>
      <c r="F971" s="3"/>
      <c r="H971" s="3"/>
      <c r="J971" s="3"/>
      <c r="L971" s="3"/>
    </row>
    <row r="972" spans="3:12" ht="15.75" customHeight="1" x14ac:dyDescent="0.2">
      <c r="C972" s="6"/>
      <c r="F972" s="3"/>
      <c r="H972" s="3"/>
      <c r="J972" s="3"/>
      <c r="L972" s="3"/>
    </row>
    <row r="973" spans="3:12" ht="15.75" customHeight="1" x14ac:dyDescent="0.2">
      <c r="C973" s="6"/>
      <c r="F973" s="3"/>
      <c r="H973" s="3"/>
      <c r="J973" s="3"/>
      <c r="L973" s="3"/>
    </row>
    <row r="974" spans="3:12" ht="15.75" customHeight="1" x14ac:dyDescent="0.2">
      <c r="C974" s="6"/>
      <c r="F974" s="3"/>
      <c r="H974" s="3"/>
      <c r="J974" s="3"/>
      <c r="L974" s="3"/>
    </row>
    <row r="975" spans="3:12" ht="15.75" customHeight="1" x14ac:dyDescent="0.2">
      <c r="C975" s="6"/>
      <c r="F975" s="3"/>
      <c r="H975" s="3"/>
      <c r="J975" s="3"/>
      <c r="L975" s="3"/>
    </row>
    <row r="976" spans="3:12" ht="15.75" customHeight="1" x14ac:dyDescent="0.2">
      <c r="C976" s="6"/>
      <c r="F976" s="3"/>
      <c r="H976" s="3"/>
      <c r="J976" s="3"/>
      <c r="L976" s="3"/>
    </row>
    <row r="977" spans="3:12" ht="15.75" customHeight="1" x14ac:dyDescent="0.2">
      <c r="C977" s="6"/>
      <c r="F977" s="3"/>
      <c r="H977" s="3"/>
      <c r="J977" s="3"/>
      <c r="L977" s="3"/>
    </row>
    <row r="978" spans="3:12" ht="15.75" customHeight="1" x14ac:dyDescent="0.2">
      <c r="C978" s="6"/>
      <c r="F978" s="3"/>
      <c r="H978" s="3"/>
      <c r="J978" s="3"/>
      <c r="L978" s="3"/>
    </row>
    <row r="979" spans="3:12" ht="15.75" customHeight="1" x14ac:dyDescent="0.2">
      <c r="C979" s="6"/>
      <c r="F979" s="3"/>
      <c r="H979" s="3"/>
      <c r="J979" s="3"/>
      <c r="L979" s="3"/>
    </row>
    <row r="980" spans="3:12" ht="15.75" customHeight="1" x14ac:dyDescent="0.2">
      <c r="C980" s="6"/>
      <c r="F980" s="3"/>
      <c r="H980" s="3"/>
      <c r="J980" s="3"/>
      <c r="L980" s="3"/>
    </row>
    <row r="981" spans="3:12" ht="15.75" customHeight="1" x14ac:dyDescent="0.2">
      <c r="C981" s="6"/>
      <c r="F981" s="3"/>
      <c r="H981" s="3"/>
      <c r="J981" s="3"/>
      <c r="L981" s="3"/>
    </row>
    <row r="982" spans="3:12" ht="15.75" customHeight="1" x14ac:dyDescent="0.2">
      <c r="C982" s="6"/>
      <c r="F982" s="3"/>
      <c r="H982" s="3"/>
      <c r="J982" s="3"/>
      <c r="L982" s="3"/>
    </row>
    <row r="983" spans="3:12" ht="15.75" customHeight="1" x14ac:dyDescent="0.2">
      <c r="C983" s="6"/>
      <c r="F983" s="3"/>
      <c r="H983" s="3"/>
      <c r="J983" s="3"/>
      <c r="L983" s="3"/>
    </row>
    <row r="984" spans="3:12" ht="15.75" customHeight="1" x14ac:dyDescent="0.2">
      <c r="C984" s="6"/>
      <c r="F984" s="3"/>
      <c r="H984" s="3"/>
      <c r="J984" s="3"/>
      <c r="L984" s="3"/>
    </row>
    <row r="985" spans="3:12" ht="15.75" customHeight="1" x14ac:dyDescent="0.2">
      <c r="C985" s="6"/>
      <c r="F985" s="3"/>
      <c r="H985" s="3"/>
      <c r="J985" s="3"/>
      <c r="L985" s="3"/>
    </row>
    <row r="986" spans="3:12" ht="15.75" customHeight="1" x14ac:dyDescent="0.2">
      <c r="C986" s="6"/>
      <c r="F986" s="3"/>
      <c r="H986" s="3"/>
      <c r="J986" s="3"/>
      <c r="L986" s="3"/>
    </row>
    <row r="987" spans="3:12" ht="15.75" customHeight="1" x14ac:dyDescent="0.2">
      <c r="C987" s="6"/>
      <c r="F987" s="3"/>
      <c r="H987" s="3"/>
      <c r="J987" s="3"/>
      <c r="L987" s="3"/>
    </row>
    <row r="988" spans="3:12" ht="15.75" customHeight="1" x14ac:dyDescent="0.2">
      <c r="C988" s="6"/>
      <c r="F988" s="3"/>
      <c r="H988" s="3"/>
      <c r="J988" s="3"/>
      <c r="L988" s="3"/>
    </row>
    <row r="989" spans="3:12" ht="15.75" customHeight="1" x14ac:dyDescent="0.2">
      <c r="C989" s="6"/>
      <c r="F989" s="3"/>
      <c r="H989" s="3"/>
      <c r="J989" s="3"/>
      <c r="L989" s="3"/>
    </row>
    <row r="990" spans="3:12" ht="15.75" customHeight="1" x14ac:dyDescent="0.2">
      <c r="C990" s="6"/>
      <c r="F990" s="3"/>
      <c r="H990" s="3"/>
      <c r="J990" s="3"/>
      <c r="L990" s="3"/>
    </row>
    <row r="991" spans="3:12" ht="15.75" customHeight="1" x14ac:dyDescent="0.2">
      <c r="C991" s="6"/>
      <c r="F991" s="3"/>
      <c r="H991" s="3"/>
      <c r="J991" s="3"/>
      <c r="L991" s="3"/>
    </row>
    <row r="992" spans="3:12" ht="15.75" customHeight="1" x14ac:dyDescent="0.2">
      <c r="C992" s="6"/>
      <c r="F992" s="3"/>
      <c r="H992" s="3"/>
      <c r="J992" s="3"/>
      <c r="L992" s="3"/>
    </row>
    <row r="993" spans="3:12" ht="15.75" customHeight="1" x14ac:dyDescent="0.2">
      <c r="C993" s="6"/>
      <c r="F993" s="3"/>
      <c r="H993" s="3"/>
      <c r="J993" s="3"/>
      <c r="L993" s="3"/>
    </row>
    <row r="994" spans="3:12" ht="15.75" customHeight="1" x14ac:dyDescent="0.2">
      <c r="C994" s="6"/>
      <c r="F994" s="3"/>
      <c r="H994" s="3"/>
      <c r="J994" s="3"/>
      <c r="L994" s="3"/>
    </row>
    <row r="995" spans="3:12" ht="15.75" customHeight="1" x14ac:dyDescent="0.2">
      <c r="C995" s="6"/>
      <c r="F995" s="3"/>
      <c r="H995" s="3"/>
      <c r="J995" s="3"/>
      <c r="L995" s="3"/>
    </row>
    <row r="996" spans="3:12" ht="15.75" customHeight="1" x14ac:dyDescent="0.2">
      <c r="C996" s="6"/>
      <c r="F996" s="3"/>
      <c r="H996" s="3"/>
      <c r="J996" s="3"/>
      <c r="L996" s="3"/>
    </row>
    <row r="997" spans="3:12" ht="15.75" customHeight="1" x14ac:dyDescent="0.2">
      <c r="C997" s="6"/>
      <c r="F997" s="3"/>
      <c r="H997" s="3"/>
      <c r="J997" s="3"/>
      <c r="L997" s="3"/>
    </row>
    <row r="998" spans="3:12" ht="15.75" customHeight="1" x14ac:dyDescent="0.2">
      <c r="C998" s="6"/>
      <c r="F998" s="3"/>
      <c r="H998" s="3"/>
      <c r="J998" s="3"/>
      <c r="L998" s="3"/>
    </row>
    <row r="999" spans="3:12" ht="15.75" customHeight="1" x14ac:dyDescent="0.2">
      <c r="C999" s="6"/>
      <c r="F999" s="3"/>
      <c r="H999" s="3"/>
      <c r="J999" s="3"/>
      <c r="L999" s="3"/>
    </row>
    <row r="1000" spans="3:12" ht="15.75" customHeight="1" x14ac:dyDescent="0.2">
      <c r="C1000" s="6"/>
      <c r="F1000" s="3"/>
      <c r="H1000" s="3"/>
      <c r="J1000" s="3"/>
      <c r="L1000" s="3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4.5" defaultRowHeight="15" customHeight="1" x14ac:dyDescent="0.2"/>
  <cols>
    <col min="1" max="1" width="18.83203125" customWidth="1"/>
    <col min="2" max="2" width="10.6640625" customWidth="1"/>
    <col min="3" max="3" width="11.83203125" customWidth="1"/>
    <col min="4" max="4" width="12.1640625" customWidth="1"/>
    <col min="5" max="5" width="13.33203125" customWidth="1"/>
    <col min="6" max="6" width="13" customWidth="1"/>
    <col min="7" max="7" width="11.83203125" customWidth="1"/>
    <col min="8" max="8" width="11.33203125" customWidth="1"/>
    <col min="9" max="9" width="11.6640625" customWidth="1"/>
    <col min="10" max="10" width="10.83203125" customWidth="1"/>
    <col min="11" max="11" width="11.33203125" customWidth="1"/>
    <col min="12" max="12" width="10.5" customWidth="1"/>
    <col min="13" max="13" width="9.83203125" customWidth="1"/>
    <col min="14" max="14" width="11.5" customWidth="1"/>
    <col min="15" max="15" width="9.83203125" customWidth="1"/>
    <col min="16" max="16" width="11.33203125" customWidth="1"/>
    <col min="17" max="17" width="10.1640625" customWidth="1"/>
    <col min="18" max="18" width="11.33203125" customWidth="1"/>
    <col min="19" max="19" width="10" customWidth="1"/>
    <col min="20" max="20" width="10.83203125" customWidth="1"/>
    <col min="21" max="21" width="14.5" customWidth="1"/>
    <col min="22" max="22" width="11.33203125" customWidth="1"/>
    <col min="23" max="23" width="10.1640625" customWidth="1"/>
    <col min="24" max="24" width="11.83203125" customWidth="1"/>
    <col min="25" max="25" width="10.83203125" customWidth="1"/>
    <col min="26" max="26" width="11.1640625" customWidth="1"/>
    <col min="27" max="27" width="9.83203125" customWidth="1"/>
    <col min="28" max="28" width="11.1640625" customWidth="1"/>
    <col min="29" max="29" width="13.83203125" customWidth="1"/>
    <col min="30" max="30" width="10.1640625" customWidth="1"/>
    <col min="31" max="31" width="11.83203125" customWidth="1"/>
    <col min="32" max="32" width="12.33203125" customWidth="1"/>
    <col min="33" max="33" width="10.1640625" customWidth="1"/>
  </cols>
  <sheetData>
    <row r="1" spans="1:33" x14ac:dyDescent="0.2">
      <c r="A1" s="4" t="s">
        <v>48</v>
      </c>
      <c r="B1" s="6"/>
      <c r="D1" s="51" t="s">
        <v>49</v>
      </c>
      <c r="E1" s="3"/>
      <c r="G1" s="3"/>
      <c r="I1" s="3"/>
      <c r="K1" s="3"/>
      <c r="M1" s="3"/>
      <c r="S1" s="3"/>
      <c r="AE1" s="1"/>
      <c r="AF1" s="1"/>
      <c r="AG1" s="1"/>
    </row>
    <row r="2" spans="1:33" x14ac:dyDescent="0.2">
      <c r="B2" s="6"/>
      <c r="E2" s="3"/>
      <c r="G2" s="3"/>
      <c r="I2" s="3"/>
      <c r="J2" s="11"/>
      <c r="K2" s="3"/>
      <c r="M2" s="3"/>
      <c r="S2" s="3"/>
      <c r="AC2" s="4" t="s">
        <v>3</v>
      </c>
      <c r="AE2" s="1" t="s">
        <v>50</v>
      </c>
      <c r="AF2" s="1"/>
      <c r="AG2" s="1"/>
    </row>
    <row r="3" spans="1:33" x14ac:dyDescent="0.2">
      <c r="B3" s="12" t="s">
        <v>1</v>
      </c>
      <c r="C3" s="13" t="s">
        <v>2</v>
      </c>
      <c r="D3" s="52">
        <v>43466</v>
      </c>
      <c r="E3" s="53"/>
      <c r="F3" s="52">
        <v>43497</v>
      </c>
      <c r="G3" s="53"/>
      <c r="H3" s="52">
        <v>43525</v>
      </c>
      <c r="I3" s="53"/>
      <c r="J3" s="52">
        <v>43556</v>
      </c>
      <c r="K3" s="53"/>
      <c r="L3" s="52">
        <v>43586</v>
      </c>
      <c r="M3" s="53"/>
      <c r="N3" s="52">
        <v>43617</v>
      </c>
      <c r="O3" s="53"/>
      <c r="P3" s="52">
        <v>43647</v>
      </c>
      <c r="Q3" s="53"/>
      <c r="R3" s="52">
        <v>43313</v>
      </c>
      <c r="S3" s="53"/>
      <c r="T3" s="52">
        <v>43709</v>
      </c>
      <c r="U3" s="53"/>
      <c r="V3" s="52">
        <v>43739</v>
      </c>
      <c r="W3" s="53"/>
      <c r="X3" s="52">
        <v>43770</v>
      </c>
      <c r="Y3" s="53"/>
      <c r="Z3" s="14">
        <v>43800</v>
      </c>
      <c r="AA3" s="15"/>
      <c r="AB3" s="3"/>
      <c r="AC3" s="4" t="s">
        <v>51</v>
      </c>
      <c r="AD3" s="4" t="s">
        <v>52</v>
      </c>
      <c r="AE3" s="1" t="s">
        <v>53</v>
      </c>
      <c r="AF3" s="1" t="s">
        <v>53</v>
      </c>
      <c r="AG3" s="1" t="s">
        <v>54</v>
      </c>
    </row>
    <row r="4" spans="1:33" x14ac:dyDescent="0.2">
      <c r="B4" s="18"/>
      <c r="C4" s="19"/>
      <c r="D4" s="54"/>
      <c r="E4" s="55"/>
      <c r="F4" s="54"/>
      <c r="G4" s="55"/>
      <c r="H4" s="56"/>
      <c r="I4" s="55"/>
      <c r="J4" s="54"/>
      <c r="K4" s="55"/>
      <c r="L4" s="54"/>
      <c r="M4" s="55"/>
      <c r="N4" s="54"/>
      <c r="O4" s="55"/>
      <c r="P4" s="54"/>
      <c r="Q4" s="55"/>
      <c r="R4" s="54"/>
      <c r="S4" s="55"/>
      <c r="T4" s="54"/>
      <c r="U4" s="55"/>
      <c r="V4" s="54"/>
      <c r="W4" s="55"/>
      <c r="X4" s="54"/>
      <c r="Y4" s="55"/>
      <c r="Z4" s="20"/>
      <c r="AA4" s="21"/>
      <c r="AB4" s="3"/>
      <c r="AC4" s="4" t="s">
        <v>55</v>
      </c>
      <c r="AE4" s="1" t="s">
        <v>56</v>
      </c>
      <c r="AF4" s="1" t="s">
        <v>56</v>
      </c>
      <c r="AG4" s="1" t="s">
        <v>57</v>
      </c>
    </row>
    <row r="5" spans="1:33" x14ac:dyDescent="0.2">
      <c r="A5" s="25" t="s">
        <v>4</v>
      </c>
      <c r="B5" s="12">
        <v>1.04</v>
      </c>
      <c r="C5" s="13">
        <v>1900</v>
      </c>
      <c r="D5" s="57">
        <f>26956+536+1464</f>
        <v>28956</v>
      </c>
      <c r="E5" s="27">
        <f>+D5/C5</f>
        <v>15.24</v>
      </c>
      <c r="F5" s="26">
        <f>+D5+D6</f>
        <v>27700</v>
      </c>
      <c r="G5" s="27">
        <f>+F5/C5</f>
        <v>14.578947368421053</v>
      </c>
      <c r="H5" s="26">
        <f>+F5+F6+6960</f>
        <v>32844</v>
      </c>
      <c r="I5" s="27">
        <f>+H5/C5</f>
        <v>17.286315789473683</v>
      </c>
      <c r="J5" s="26">
        <f>+H5+H6</f>
        <v>30760</v>
      </c>
      <c r="K5" s="27">
        <f>+J5/C5</f>
        <v>16.189473684210526</v>
      </c>
      <c r="L5" s="26">
        <f>+J5+J6</f>
        <v>30648</v>
      </c>
      <c r="M5" s="27">
        <f>+L5/C5</f>
        <v>16.130526315789474</v>
      </c>
      <c r="N5" s="26">
        <f>+L5+L6</f>
        <v>26280</v>
      </c>
      <c r="O5" s="27">
        <f>+N5/C5</f>
        <v>13.831578947368421</v>
      </c>
      <c r="P5" s="26">
        <f>+N5+N6</f>
        <v>24288</v>
      </c>
      <c r="Q5" s="27">
        <f>+P5/C5</f>
        <v>12.783157894736842</v>
      </c>
      <c r="R5" s="26">
        <f>+P5+P6</f>
        <v>22316</v>
      </c>
      <c r="S5" s="27">
        <f>+R5/C5</f>
        <v>11.745263157894737</v>
      </c>
      <c r="T5" s="26">
        <f>+R5+R6</f>
        <v>21628</v>
      </c>
      <c r="U5" s="27">
        <f>+T5/C5</f>
        <v>11.383157894736842</v>
      </c>
      <c r="V5" s="26">
        <f>+T5+T6</f>
        <v>18476</v>
      </c>
      <c r="W5" s="27">
        <f>+V5/C5</f>
        <v>9.7242105263157903</v>
      </c>
      <c r="X5" s="26">
        <f>+V5+V6</f>
        <v>16092</v>
      </c>
      <c r="Y5" s="27">
        <f>+X5/C5</f>
        <v>8.4694736842105272</v>
      </c>
      <c r="Z5" s="26">
        <f>+X5+X6+7200</f>
        <v>21904</v>
      </c>
      <c r="AA5" s="27">
        <f>+Z5/C5</f>
        <v>11.528421052631579</v>
      </c>
      <c r="AB5" s="58">
        <f>+Z5+Z6</f>
        <v>18718</v>
      </c>
      <c r="AC5" s="59">
        <f>+C5*AA5</f>
        <v>21904</v>
      </c>
      <c r="AD5" s="13"/>
      <c r="AE5" s="1"/>
      <c r="AF5" s="1"/>
      <c r="AG5" s="1"/>
    </row>
    <row r="6" spans="1:33" x14ac:dyDescent="0.2">
      <c r="A6" s="28" t="s">
        <v>27</v>
      </c>
      <c r="B6" s="18">
        <v>0.8</v>
      </c>
      <c r="C6" s="29">
        <f>+(+D6+F6+H6+J6+L6+N6+P6+R6+T6+V6+X6+Z6)/12</f>
        <v>-2033.1666666666667</v>
      </c>
      <c r="D6" s="30">
        <v>-1256</v>
      </c>
      <c r="E6" s="31">
        <f>+B5*D6</f>
        <v>-1306.24</v>
      </c>
      <c r="F6" s="30">
        <v>-1816</v>
      </c>
      <c r="G6" s="31">
        <f>+B5*F6</f>
        <v>-1888.64</v>
      </c>
      <c r="H6" s="30">
        <v>-2084</v>
      </c>
      <c r="I6" s="31">
        <f>+B5*H6</f>
        <v>-2167.36</v>
      </c>
      <c r="J6" s="30">
        <v>-112</v>
      </c>
      <c r="K6" s="31">
        <f>+B5*J6</f>
        <v>-116.48</v>
      </c>
      <c r="L6" s="30">
        <v>-4368</v>
      </c>
      <c r="M6" s="31">
        <f>+B5*L6</f>
        <v>-4542.72</v>
      </c>
      <c r="N6" s="30">
        <v>-1992</v>
      </c>
      <c r="O6" s="31">
        <f>+B5*N6</f>
        <v>-2071.6800000000003</v>
      </c>
      <c r="P6" s="30">
        <v>-1972</v>
      </c>
      <c r="Q6" s="31">
        <f>+B5*P6</f>
        <v>-2050.88</v>
      </c>
      <c r="R6" s="30">
        <v>-688</v>
      </c>
      <c r="S6" s="31">
        <f>+B5*R6</f>
        <v>-715.52</v>
      </c>
      <c r="T6" s="30">
        <v>-3152</v>
      </c>
      <c r="U6" s="31">
        <f>+B5*T6</f>
        <v>-3278.08</v>
      </c>
      <c r="V6" s="30">
        <v>-2384</v>
      </c>
      <c r="W6" s="31">
        <f>+B5*V6</f>
        <v>-2479.36</v>
      </c>
      <c r="X6" s="30">
        <v>-1388</v>
      </c>
      <c r="Y6" s="31">
        <f>+B5*X6</f>
        <v>-1443.52</v>
      </c>
      <c r="Z6" s="30">
        <v>-3186</v>
      </c>
      <c r="AA6" s="31">
        <f>+B5*Z6</f>
        <v>-3313.44</v>
      </c>
      <c r="AB6" s="60">
        <f t="shared" ref="AB6:AC6" si="0">+D6+F6+H6+J6+L6+N6+P6+R6+T6+V6+X6+Z6</f>
        <v>-24398</v>
      </c>
      <c r="AC6" s="1">
        <f t="shared" si="0"/>
        <v>-25373.919999999998</v>
      </c>
      <c r="AD6" s="19"/>
      <c r="AE6" s="1"/>
      <c r="AF6" s="1"/>
      <c r="AG6" s="1"/>
    </row>
    <row r="7" spans="1:33" x14ac:dyDescent="0.2">
      <c r="A7" s="33" t="s">
        <v>15</v>
      </c>
      <c r="B7" s="34"/>
      <c r="C7" s="35"/>
      <c r="D7" s="36"/>
      <c r="E7" s="37">
        <v>3815.92</v>
      </c>
      <c r="F7" s="36"/>
      <c r="G7" s="37">
        <v>3772.48</v>
      </c>
      <c r="H7" s="36"/>
      <c r="I7" s="37">
        <v>4031.84</v>
      </c>
      <c r="J7" s="36"/>
      <c r="K7" s="37">
        <v>375.2</v>
      </c>
      <c r="L7" s="36"/>
      <c r="M7" s="37">
        <v>6671.68</v>
      </c>
      <c r="N7" s="36"/>
      <c r="O7" s="37">
        <v>3696.16</v>
      </c>
      <c r="P7" s="36"/>
      <c r="Q7" s="37">
        <v>5953.4</v>
      </c>
      <c r="R7" s="36"/>
      <c r="S7" s="37">
        <v>1912.24</v>
      </c>
      <c r="T7" s="36"/>
      <c r="U7" s="37">
        <v>7058.52</v>
      </c>
      <c r="V7" s="36"/>
      <c r="W7" s="37">
        <v>4005.84</v>
      </c>
      <c r="X7" s="36"/>
      <c r="Y7" s="37">
        <v>3996.12</v>
      </c>
      <c r="Z7" s="36"/>
      <c r="AA7" s="37">
        <v>7619.36</v>
      </c>
      <c r="AB7" s="50"/>
      <c r="AC7" s="50">
        <f>+E7+G7+I7+K7+M7+O7+Q7+S7+U7+W7+Y7+AA7</f>
        <v>52908.76</v>
      </c>
      <c r="AD7" s="37">
        <f>+AC7/+AB6</f>
        <v>-2.1685695548815476</v>
      </c>
      <c r="AE7" s="1">
        <f>+AC5*AD7</f>
        <v>-47500.347530125415</v>
      </c>
      <c r="AF7" s="1">
        <f>+R5*AD7</f>
        <v>-48393.798186736618</v>
      </c>
      <c r="AG7" s="1">
        <f>+R5*B5</f>
        <v>23208.639999999999</v>
      </c>
    </row>
    <row r="8" spans="1:33" x14ac:dyDescent="0.2">
      <c r="A8" s="25" t="s">
        <v>5</v>
      </c>
      <c r="B8" s="12">
        <v>0.76</v>
      </c>
      <c r="C8" s="13">
        <v>800</v>
      </c>
      <c r="D8" s="57">
        <f>15409+192</f>
        <v>15601</v>
      </c>
      <c r="E8" s="27">
        <f>+D8/C8</f>
        <v>19.501249999999999</v>
      </c>
      <c r="F8" s="26">
        <f>+D8+D9</f>
        <v>14973</v>
      </c>
      <c r="G8" s="27">
        <f>+F8/C8</f>
        <v>18.716249999999999</v>
      </c>
      <c r="H8" s="26">
        <f>+F8+F9+2520</f>
        <v>16685</v>
      </c>
      <c r="I8" s="27">
        <f>+H8/C8</f>
        <v>20.856249999999999</v>
      </c>
      <c r="J8" s="26">
        <f>+H8+H9</f>
        <v>15597</v>
      </c>
      <c r="K8" s="27">
        <f>+J8/C8</f>
        <v>19.49625</v>
      </c>
      <c r="L8" s="26">
        <f>+J8+J9</f>
        <v>15541</v>
      </c>
      <c r="M8" s="27">
        <f>+L8/C8</f>
        <v>19.42625</v>
      </c>
      <c r="N8" s="26">
        <f>+L8+L9</f>
        <v>14657</v>
      </c>
      <c r="O8" s="27">
        <f>+N8/C8</f>
        <v>18.321249999999999</v>
      </c>
      <c r="P8" s="26">
        <f>+N8+N9</f>
        <v>13773</v>
      </c>
      <c r="Q8" s="27">
        <f>+P8/C8</f>
        <v>17.216249999999999</v>
      </c>
      <c r="R8" s="26">
        <f>+P8+P9</f>
        <v>12787</v>
      </c>
      <c r="S8" s="27">
        <f>+R8/C8</f>
        <v>15.983750000000001</v>
      </c>
      <c r="T8" s="26">
        <f>+R8+R9</f>
        <v>12543</v>
      </c>
      <c r="U8" s="27">
        <f>+T8/C8</f>
        <v>15.678750000000001</v>
      </c>
      <c r="V8" s="26">
        <f>+T8+T9</f>
        <v>11967</v>
      </c>
      <c r="W8" s="27">
        <f>+V8/C8</f>
        <v>14.95875</v>
      </c>
      <c r="X8" s="26">
        <f>+V8+V9</f>
        <v>11275</v>
      </c>
      <c r="Y8" s="27">
        <f>+X8/C8</f>
        <v>14.09375</v>
      </c>
      <c r="Z8" s="26">
        <f>+X8+X9</f>
        <v>10481</v>
      </c>
      <c r="AA8" s="27">
        <f>+Z8/C8</f>
        <v>13.10125</v>
      </c>
      <c r="AB8" s="58">
        <f>+Z8+Z9</f>
        <v>9313</v>
      </c>
      <c r="AC8" s="59">
        <f>+C8*AA8</f>
        <v>10481</v>
      </c>
      <c r="AD8" s="13"/>
      <c r="AE8" s="1"/>
      <c r="AF8" s="1"/>
      <c r="AG8" s="1"/>
    </row>
    <row r="9" spans="1:33" x14ac:dyDescent="0.2">
      <c r="A9" s="28" t="s">
        <v>27</v>
      </c>
      <c r="B9" s="18">
        <v>0.57999999999999996</v>
      </c>
      <c r="C9" s="29">
        <f>+(+D9+F9+H9+J9+L9+N9+P9+R9+T9+V9+X9+Z9)/12</f>
        <v>-734</v>
      </c>
      <c r="D9" s="30">
        <v>-628</v>
      </c>
      <c r="E9" s="31">
        <f>+B8*D9</f>
        <v>-477.28000000000003</v>
      </c>
      <c r="F9" s="30">
        <v>-808</v>
      </c>
      <c r="G9" s="31">
        <f>+B8*F9</f>
        <v>-614.08000000000004</v>
      </c>
      <c r="H9" s="30">
        <v>-1088</v>
      </c>
      <c r="I9" s="31">
        <f>+B8*H9</f>
        <v>-826.88</v>
      </c>
      <c r="J9" s="30">
        <v>-56</v>
      </c>
      <c r="K9" s="31">
        <f>+B8*J9</f>
        <v>-42.56</v>
      </c>
      <c r="L9" s="30">
        <v>-884</v>
      </c>
      <c r="M9" s="31">
        <f>+B8*L9</f>
        <v>-671.84</v>
      </c>
      <c r="N9" s="30">
        <v>-884</v>
      </c>
      <c r="O9" s="31">
        <f>+B8*N9</f>
        <v>-671.84</v>
      </c>
      <c r="P9" s="30">
        <v>-986</v>
      </c>
      <c r="Q9" s="31">
        <f>+B8*P9</f>
        <v>-749.36</v>
      </c>
      <c r="R9" s="30">
        <v>-244</v>
      </c>
      <c r="S9" s="31">
        <f>+B8*R9</f>
        <v>-185.44</v>
      </c>
      <c r="T9" s="30">
        <v>-576</v>
      </c>
      <c r="U9" s="31">
        <f>+B8*T9</f>
        <v>-437.76</v>
      </c>
      <c r="V9" s="30">
        <v>-692</v>
      </c>
      <c r="W9" s="31">
        <f>+B8*V9</f>
        <v>-525.91999999999996</v>
      </c>
      <c r="X9" s="30">
        <v>-794</v>
      </c>
      <c r="Y9" s="31">
        <f>+B8*X9</f>
        <v>-603.44000000000005</v>
      </c>
      <c r="Z9" s="30">
        <v>-1168</v>
      </c>
      <c r="AA9" s="31">
        <f>+B8*Z9</f>
        <v>-887.68000000000006</v>
      </c>
      <c r="AB9" s="60">
        <f t="shared" ref="AB9:AC9" si="1">+D9+F9+H9+J9+L9+N9+P9+R9+T9+V9+X9+Z9</f>
        <v>-8808</v>
      </c>
      <c r="AC9" s="1">
        <f t="shared" si="1"/>
        <v>-6694.0800000000017</v>
      </c>
      <c r="AD9" s="19"/>
      <c r="AE9" s="1"/>
      <c r="AF9" s="1"/>
      <c r="AG9" s="1"/>
    </row>
    <row r="10" spans="1:33" x14ac:dyDescent="0.2">
      <c r="A10" s="33" t="s">
        <v>15</v>
      </c>
      <c r="B10" s="34"/>
      <c r="C10" s="35"/>
      <c r="D10" s="36"/>
      <c r="E10" s="37">
        <v>1572.88</v>
      </c>
      <c r="F10" s="36"/>
      <c r="G10" s="37">
        <v>1494.24</v>
      </c>
      <c r="H10" s="36"/>
      <c r="I10" s="37">
        <v>1986.72</v>
      </c>
      <c r="J10" s="36"/>
      <c r="K10" s="37">
        <v>180.32</v>
      </c>
      <c r="L10" s="36"/>
      <c r="M10" s="37">
        <v>1572.96</v>
      </c>
      <c r="N10" s="36"/>
      <c r="O10" s="37">
        <v>1402.56</v>
      </c>
      <c r="P10" s="36"/>
      <c r="Q10" s="37">
        <v>2426.12</v>
      </c>
      <c r="R10" s="36"/>
      <c r="S10" s="37">
        <v>635.91999999999996</v>
      </c>
      <c r="T10" s="36"/>
      <c r="U10" s="37">
        <v>1405.44</v>
      </c>
      <c r="V10" s="36"/>
      <c r="W10" s="37">
        <v>1068.48</v>
      </c>
      <c r="X10" s="36"/>
      <c r="Y10" s="37">
        <v>1811.4</v>
      </c>
      <c r="Z10" s="36"/>
      <c r="AA10" s="37">
        <v>2505.92</v>
      </c>
      <c r="AB10" s="50"/>
      <c r="AC10" s="50">
        <f>+E10+G10+I10+K10+M10+O10+Q10+S10+U10+W10+Y10+AA10</f>
        <v>18062.96</v>
      </c>
      <c r="AD10" s="37">
        <f>+AC10/+AB9</f>
        <v>-2.0507447774750225</v>
      </c>
      <c r="AE10" s="1">
        <f>+AC8*AD10</f>
        <v>-21493.856012715711</v>
      </c>
      <c r="AF10" s="1">
        <f>+R8*AD10</f>
        <v>-26222.873469573111</v>
      </c>
      <c r="AG10" s="1">
        <f>+R8*B8</f>
        <v>9718.1200000000008</v>
      </c>
    </row>
    <row r="11" spans="1:33" x14ac:dyDescent="0.2">
      <c r="A11" s="28" t="s">
        <v>6</v>
      </c>
      <c r="B11" s="18">
        <v>0.62</v>
      </c>
      <c r="C11" s="19">
        <v>300</v>
      </c>
      <c r="D11" s="61">
        <f>1215+24</f>
        <v>1239</v>
      </c>
      <c r="E11" s="32">
        <f>+D11/C11</f>
        <v>4.13</v>
      </c>
      <c r="F11" s="30">
        <f>+D11+D12</f>
        <v>1107</v>
      </c>
      <c r="G11" s="32">
        <f>+F11/C11</f>
        <v>3.69</v>
      </c>
      <c r="H11" s="30">
        <f>+F11+F12+2520</f>
        <v>3473</v>
      </c>
      <c r="I11" s="32">
        <f>+H11/C11</f>
        <v>11.576666666666666</v>
      </c>
      <c r="J11" s="30">
        <f>+H11+H12</f>
        <v>3049</v>
      </c>
      <c r="K11" s="32">
        <f>+J11/C11</f>
        <v>10.163333333333334</v>
      </c>
      <c r="L11" s="30">
        <f>+J11+J12</f>
        <v>2536</v>
      </c>
      <c r="M11" s="32">
        <f>+L11/C11</f>
        <v>8.4533333333333331</v>
      </c>
      <c r="N11" s="30">
        <f>+L11+L12</f>
        <v>2388</v>
      </c>
      <c r="O11" s="32">
        <f>+N11/C11</f>
        <v>7.96</v>
      </c>
      <c r="P11" s="30">
        <f>+N11+N12</f>
        <v>1968</v>
      </c>
      <c r="Q11" s="32">
        <f>+P11/C11</f>
        <v>6.56</v>
      </c>
      <c r="R11" s="30">
        <f>+P11+P12</f>
        <v>1844</v>
      </c>
      <c r="S11" s="32">
        <f>+R11/C11</f>
        <v>6.1466666666666665</v>
      </c>
      <c r="T11" s="30">
        <f>+R11+R12</f>
        <v>1809</v>
      </c>
      <c r="U11" s="32">
        <f>+T11/C11</f>
        <v>6.03</v>
      </c>
      <c r="V11" s="30">
        <f>+T11+T12</f>
        <v>1637</v>
      </c>
      <c r="W11" s="32">
        <f>+V11/C11</f>
        <v>5.456666666666667</v>
      </c>
      <c r="X11" s="30">
        <f>+V11+V12</f>
        <v>1173</v>
      </c>
      <c r="Y11" s="32">
        <f>+X11/C11</f>
        <v>3.91</v>
      </c>
      <c r="Z11" s="30">
        <f>+X11+X12+4230</f>
        <v>5043</v>
      </c>
      <c r="AA11" s="32">
        <f>+Z11/C11</f>
        <v>16.809999999999999</v>
      </c>
      <c r="AB11" s="62">
        <f>+Z11+Z12</f>
        <v>4947</v>
      </c>
      <c r="AC11" s="59">
        <f>+C11*AA11</f>
        <v>5043</v>
      </c>
      <c r="AD11" s="13"/>
      <c r="AE11" s="1"/>
      <c r="AF11" s="1"/>
      <c r="AG11" s="1"/>
    </row>
    <row r="12" spans="1:33" x14ac:dyDescent="0.2">
      <c r="A12" s="28" t="s">
        <v>27</v>
      </c>
      <c r="B12" s="18">
        <v>0.47</v>
      </c>
      <c r="C12" s="29">
        <f>+(+D12+F12+H12+J12+L12+N12+P12+R12+T12+V12+X12+Z12)/12</f>
        <v>-253.5</v>
      </c>
      <c r="D12" s="30">
        <v>-132</v>
      </c>
      <c r="E12" s="31">
        <f>+B11*D12</f>
        <v>-81.84</v>
      </c>
      <c r="F12" s="30">
        <v>-154</v>
      </c>
      <c r="G12" s="32">
        <f>+B11*F12</f>
        <v>-95.48</v>
      </c>
      <c r="H12" s="30">
        <v>-424</v>
      </c>
      <c r="I12" s="31">
        <f>+B11*H12</f>
        <v>-262.88</v>
      </c>
      <c r="J12" s="30">
        <v>-513</v>
      </c>
      <c r="K12" s="31">
        <f>+B11*J12</f>
        <v>-318.06</v>
      </c>
      <c r="L12" s="30">
        <v>-148</v>
      </c>
      <c r="M12" s="31">
        <f>+B11*L12</f>
        <v>-91.76</v>
      </c>
      <c r="N12" s="30">
        <v>-420</v>
      </c>
      <c r="O12" s="31">
        <f>+B11*N12</f>
        <v>-260.39999999999998</v>
      </c>
      <c r="P12" s="30">
        <v>-124</v>
      </c>
      <c r="Q12" s="31">
        <f>+B11*P12</f>
        <v>-76.88</v>
      </c>
      <c r="R12" s="30">
        <v>-35</v>
      </c>
      <c r="S12" s="31">
        <f>+B11*R12</f>
        <v>-21.7</v>
      </c>
      <c r="T12" s="30">
        <v>-172</v>
      </c>
      <c r="U12" s="31">
        <f>+B11*T12</f>
        <v>-106.64</v>
      </c>
      <c r="V12" s="30">
        <v>-464</v>
      </c>
      <c r="W12" s="31">
        <f>+B11*V12</f>
        <v>-287.68</v>
      </c>
      <c r="X12" s="30">
        <v>-360</v>
      </c>
      <c r="Y12" s="31">
        <f>+B11*X12</f>
        <v>-223.2</v>
      </c>
      <c r="Z12" s="30">
        <v>-96</v>
      </c>
      <c r="AA12" s="31">
        <f>+B11*Z12</f>
        <v>-59.519999999999996</v>
      </c>
      <c r="AB12" s="63">
        <f t="shared" ref="AB12:AC12" si="2">+D12+F12+H12+J12+L12+N12+P12+R12+T12+V12+X12+Z12</f>
        <v>-3042</v>
      </c>
      <c r="AC12" s="1">
        <f t="shared" si="2"/>
        <v>-1886.0400000000004</v>
      </c>
      <c r="AD12" s="19"/>
      <c r="AE12" s="1"/>
      <c r="AF12" s="1"/>
      <c r="AG12" s="1"/>
    </row>
    <row r="13" spans="1:33" x14ac:dyDescent="0.2">
      <c r="A13" s="28" t="s">
        <v>15</v>
      </c>
      <c r="B13" s="34"/>
      <c r="C13" s="35"/>
      <c r="D13" s="36"/>
      <c r="E13" s="37">
        <v>211.92</v>
      </c>
      <c r="F13" s="36"/>
      <c r="G13" s="38">
        <v>198.56</v>
      </c>
      <c r="H13" s="36"/>
      <c r="I13" s="37">
        <v>778.8</v>
      </c>
      <c r="J13" s="36"/>
      <c r="K13" s="37">
        <v>666.08</v>
      </c>
      <c r="L13" s="36"/>
      <c r="M13" s="37">
        <v>179.6</v>
      </c>
      <c r="N13" s="36"/>
      <c r="O13" s="37">
        <v>523.36</v>
      </c>
      <c r="P13" s="36"/>
      <c r="Q13" s="37">
        <v>186.64</v>
      </c>
      <c r="R13" s="36"/>
      <c r="S13" s="37">
        <v>69.56</v>
      </c>
      <c r="T13" s="36"/>
      <c r="U13" s="37">
        <v>204.4</v>
      </c>
      <c r="V13" s="36"/>
      <c r="W13" s="37">
        <v>554.79999999999995</v>
      </c>
      <c r="X13" s="36"/>
      <c r="Y13" s="37">
        <v>476.84</v>
      </c>
      <c r="Z13" s="36"/>
      <c r="AA13" s="37">
        <v>139.19999999999999</v>
      </c>
      <c r="AB13" s="49"/>
      <c r="AC13" s="50">
        <f>+E13+G13+I13+K13+M13+O13+Q13+S13+U13+W13+Y13+AA13</f>
        <v>4189.76</v>
      </c>
      <c r="AD13" s="37">
        <f>+AC13/+AB12</f>
        <v>-1.3773044049967127</v>
      </c>
      <c r="AE13" s="1">
        <f>+AC11*AD13</f>
        <v>-6945.7461143984219</v>
      </c>
      <c r="AF13" s="1">
        <f>+R11*AD13</f>
        <v>-2539.7493228139383</v>
      </c>
      <c r="AG13" s="1">
        <f>+R11*B11</f>
        <v>1143.28</v>
      </c>
    </row>
    <row r="14" spans="1:33" x14ac:dyDescent="0.2">
      <c r="A14" s="59"/>
      <c r="B14" s="12"/>
      <c r="C14" s="13"/>
      <c r="D14" s="26"/>
      <c r="E14" s="27"/>
      <c r="F14" s="26"/>
      <c r="G14" s="27"/>
      <c r="H14" s="26"/>
      <c r="I14" s="27"/>
      <c r="J14" s="26"/>
      <c r="K14" s="27"/>
      <c r="L14" s="26"/>
      <c r="M14" s="27"/>
      <c r="N14" s="26"/>
      <c r="O14" s="27"/>
      <c r="P14" s="26"/>
      <c r="Q14" s="27"/>
      <c r="R14" s="26"/>
      <c r="S14" s="27"/>
      <c r="T14" s="26"/>
      <c r="U14" s="27"/>
      <c r="V14" s="26"/>
      <c r="W14" s="27"/>
      <c r="X14" s="26"/>
      <c r="Y14" s="27"/>
      <c r="Z14" s="26"/>
      <c r="AA14" s="27"/>
      <c r="AB14" s="3"/>
      <c r="AE14" s="1"/>
      <c r="AF14" s="1"/>
      <c r="AG14" s="1"/>
    </row>
    <row r="15" spans="1:33" x14ac:dyDescent="0.2">
      <c r="A15" s="40" t="s">
        <v>7</v>
      </c>
      <c r="B15" s="12">
        <v>0.94</v>
      </c>
      <c r="C15" s="13">
        <v>400</v>
      </c>
      <c r="D15" s="57">
        <f>2725-565</f>
        <v>2160</v>
      </c>
      <c r="E15" s="27">
        <f>+D15/C15</f>
        <v>5.4</v>
      </c>
      <c r="F15" s="26">
        <f>+D15+D16</f>
        <v>1660</v>
      </c>
      <c r="G15" s="27">
        <f>+F15/C15</f>
        <v>4.1500000000000004</v>
      </c>
      <c r="H15" s="41">
        <f>+F15+F16+3600</f>
        <v>5260</v>
      </c>
      <c r="I15" s="27">
        <f>+H15/C15</f>
        <v>13.15</v>
      </c>
      <c r="J15" s="41">
        <f>+H15+H16</f>
        <v>4760</v>
      </c>
      <c r="K15" s="27">
        <f>+J15/C15</f>
        <v>11.9</v>
      </c>
      <c r="L15" s="41">
        <f>+J15+J16</f>
        <v>4160</v>
      </c>
      <c r="M15" s="27">
        <f>+L15/C15</f>
        <v>10.4</v>
      </c>
      <c r="N15" s="41">
        <f>+L15+L16</f>
        <v>3920</v>
      </c>
      <c r="O15" s="27">
        <f>+N15/C15</f>
        <v>9.8000000000000007</v>
      </c>
      <c r="P15" s="41">
        <f>+N15+N16</f>
        <v>3420</v>
      </c>
      <c r="Q15" s="27">
        <f>+P15/C15</f>
        <v>8.5500000000000007</v>
      </c>
      <c r="R15" s="41">
        <f>+P15+P16</f>
        <v>2820</v>
      </c>
      <c r="S15" s="27">
        <f>+R15/C15</f>
        <v>7.05</v>
      </c>
      <c r="T15" s="41">
        <f>+R15+R16</f>
        <v>2320</v>
      </c>
      <c r="U15" s="27">
        <f>+T15/C15</f>
        <v>5.8</v>
      </c>
      <c r="V15" s="41">
        <f>+T15+T16</f>
        <v>1820</v>
      </c>
      <c r="W15" s="27">
        <f>+V15/C15</f>
        <v>4.55</v>
      </c>
      <c r="X15" s="41">
        <f>+V15+V16</f>
        <v>1820</v>
      </c>
      <c r="Y15" s="27">
        <f>+X15/C15</f>
        <v>4.55</v>
      </c>
      <c r="Z15" s="41">
        <f>+X15+X16+3600</f>
        <v>4920</v>
      </c>
      <c r="AA15" s="27">
        <f>+Z15/C15</f>
        <v>12.3</v>
      </c>
      <c r="AB15" s="58">
        <f>+Z15+Z16</f>
        <v>4920</v>
      </c>
      <c r="AC15" s="59">
        <f>+C15*AA15</f>
        <v>4920</v>
      </c>
      <c r="AD15" s="13"/>
      <c r="AE15" s="1"/>
      <c r="AF15" s="1"/>
      <c r="AG15" s="1"/>
    </row>
    <row r="16" spans="1:33" x14ac:dyDescent="0.2">
      <c r="A16" s="42" t="s">
        <v>27</v>
      </c>
      <c r="B16" s="18">
        <v>0.72</v>
      </c>
      <c r="C16" s="29">
        <f>+(+D16+F16+H16+J16+L16+N16+P16+R16+T16+V16+X16+Z16)/12</f>
        <v>-370</v>
      </c>
      <c r="D16" s="30">
        <v>-500</v>
      </c>
      <c r="E16" s="31">
        <f>+B15*D16</f>
        <v>-470</v>
      </c>
      <c r="F16" s="30">
        <v>0</v>
      </c>
      <c r="G16" s="31">
        <f>+B15*F16</f>
        <v>0</v>
      </c>
      <c r="H16" s="30">
        <v>-500</v>
      </c>
      <c r="I16" s="31">
        <f>+B15*H16</f>
        <v>-470</v>
      </c>
      <c r="J16" s="30">
        <v>-600</v>
      </c>
      <c r="K16" s="31">
        <f>+B15*J16</f>
        <v>-564</v>
      </c>
      <c r="L16" s="30">
        <v>-240</v>
      </c>
      <c r="M16" s="31">
        <f>+B15*L16</f>
        <v>-225.6</v>
      </c>
      <c r="N16" s="30">
        <v>-500</v>
      </c>
      <c r="O16" s="31">
        <f>+B15*N16</f>
        <v>-470</v>
      </c>
      <c r="P16" s="30">
        <v>-600</v>
      </c>
      <c r="Q16" s="31">
        <f>+B15*P16</f>
        <v>-564</v>
      </c>
      <c r="R16" s="30">
        <v>-500</v>
      </c>
      <c r="S16" s="31">
        <f>+B15*R16</f>
        <v>-470</v>
      </c>
      <c r="T16" s="30">
        <v>-500</v>
      </c>
      <c r="U16" s="31">
        <f>+B15*T16</f>
        <v>-470</v>
      </c>
      <c r="V16" s="30">
        <v>0</v>
      </c>
      <c r="W16" s="31">
        <f>+B15*V16</f>
        <v>0</v>
      </c>
      <c r="X16" s="30">
        <v>-500</v>
      </c>
      <c r="Y16" s="31">
        <f>+B15*X16</f>
        <v>-470</v>
      </c>
      <c r="Z16" s="30">
        <v>0</v>
      </c>
      <c r="AA16" s="43">
        <f>+B15*Z16</f>
        <v>0</v>
      </c>
      <c r="AB16" s="60">
        <f t="shared" ref="AB16:AC16" si="3">+D16+F16+H16+J16+L16+N16+P16+R16+T16+V16+X16+Z16</f>
        <v>-4440</v>
      </c>
      <c r="AC16" s="1">
        <f t="shared" si="3"/>
        <v>-4173.6000000000004</v>
      </c>
      <c r="AD16" s="19"/>
      <c r="AE16" s="1"/>
      <c r="AF16" s="1"/>
      <c r="AG16" s="1"/>
    </row>
    <row r="17" spans="1:33" x14ac:dyDescent="0.2">
      <c r="A17" s="44" t="s">
        <v>15</v>
      </c>
      <c r="B17" s="34"/>
      <c r="C17" s="35"/>
      <c r="D17" s="36"/>
      <c r="E17" s="37">
        <v>650</v>
      </c>
      <c r="F17" s="36"/>
      <c r="G17" s="37">
        <v>0</v>
      </c>
      <c r="H17" s="36"/>
      <c r="I17" s="37">
        <v>650</v>
      </c>
      <c r="J17" s="36"/>
      <c r="K17" s="37">
        <v>780</v>
      </c>
      <c r="L17" s="36"/>
      <c r="M17" s="37">
        <v>780</v>
      </c>
      <c r="N17" s="36"/>
      <c r="O17" s="37">
        <v>650</v>
      </c>
      <c r="P17" s="36"/>
      <c r="Q17" s="37">
        <v>780</v>
      </c>
      <c r="R17" s="36"/>
      <c r="S17" s="37">
        <v>650</v>
      </c>
      <c r="T17" s="36"/>
      <c r="U17" s="37">
        <v>650</v>
      </c>
      <c r="V17" s="36"/>
      <c r="W17" s="37">
        <v>0</v>
      </c>
      <c r="X17" s="36"/>
      <c r="Y17" s="37">
        <v>650</v>
      </c>
      <c r="Z17" s="36"/>
      <c r="AA17" s="64">
        <v>0</v>
      </c>
      <c r="AB17" s="50"/>
      <c r="AC17" s="50">
        <f>+E17+G17+I17+K17+M17+O17+Q17+S17+U17+W17+Y17+AA17</f>
        <v>6240</v>
      </c>
      <c r="AD17" s="37">
        <f>+AC17/+AB16</f>
        <v>-1.4054054054054055</v>
      </c>
      <c r="AE17" s="1">
        <f>+AC15*AD17</f>
        <v>-6914.594594594595</v>
      </c>
      <c r="AF17" s="1">
        <f>+R15*AD17</f>
        <v>-3963.2432432432433</v>
      </c>
      <c r="AG17" s="1">
        <f>+R15*B15</f>
        <v>2650.7999999999997</v>
      </c>
    </row>
    <row r="18" spans="1:33" x14ac:dyDescent="0.2">
      <c r="A18" s="40" t="s">
        <v>8</v>
      </c>
      <c r="B18" s="12">
        <v>0.61</v>
      </c>
      <c r="C18" s="13">
        <v>200</v>
      </c>
      <c r="D18" s="57">
        <v>96</v>
      </c>
      <c r="E18" s="27">
        <f>+D18/C18</f>
        <v>0.48</v>
      </c>
      <c r="F18" s="26">
        <f>+D18+D19</f>
        <v>96</v>
      </c>
      <c r="G18" s="27">
        <f>+F18/C18</f>
        <v>0.48</v>
      </c>
      <c r="H18" s="26">
        <f>+F18+F19+2880-292</f>
        <v>2684</v>
      </c>
      <c r="I18" s="27">
        <f>+H18/C18</f>
        <v>13.42</v>
      </c>
      <c r="J18" s="26">
        <f>+H18+H19</f>
        <v>2484</v>
      </c>
      <c r="K18" s="27">
        <f>+J18/C18</f>
        <v>12.42</v>
      </c>
      <c r="L18" s="26">
        <f>+J18+J19</f>
        <v>2184</v>
      </c>
      <c r="M18" s="27">
        <f>+L18/C18</f>
        <v>10.92</v>
      </c>
      <c r="N18" s="26">
        <f>+L18+L19</f>
        <v>2184</v>
      </c>
      <c r="O18" s="27">
        <f>+N18/C18</f>
        <v>10.92</v>
      </c>
      <c r="P18" s="26">
        <f>+N18+N19</f>
        <v>1884</v>
      </c>
      <c r="Q18" s="27">
        <f>+P18/C18</f>
        <v>9.42</v>
      </c>
      <c r="R18" s="26">
        <f>+P18+P19</f>
        <v>1684</v>
      </c>
      <c r="S18" s="27">
        <f>+R18/C18</f>
        <v>8.42</v>
      </c>
      <c r="T18" s="26">
        <f>+R18+R19</f>
        <v>1484</v>
      </c>
      <c r="U18" s="27">
        <f>+T18/C18</f>
        <v>7.42</v>
      </c>
      <c r="V18" s="26">
        <f>+T18+T19+1440</f>
        <v>2924</v>
      </c>
      <c r="W18" s="27">
        <f>+V18/C18</f>
        <v>14.62</v>
      </c>
      <c r="X18" s="26">
        <f>+V18+V19</f>
        <v>2924</v>
      </c>
      <c r="Y18" s="27">
        <f>+X18/C18</f>
        <v>14.62</v>
      </c>
      <c r="Z18" s="26">
        <f>+X18+X19</f>
        <v>2924</v>
      </c>
      <c r="AA18" s="65">
        <f>+Z18/C18</f>
        <v>14.62</v>
      </c>
      <c r="AB18" s="58">
        <f>+Z18+Z19</f>
        <v>2924</v>
      </c>
      <c r="AC18" s="59">
        <f>+C18*AA18</f>
        <v>2924</v>
      </c>
      <c r="AD18" s="13"/>
      <c r="AE18" s="1"/>
      <c r="AF18" s="1"/>
      <c r="AG18" s="1"/>
    </row>
    <row r="19" spans="1:33" x14ac:dyDescent="0.2">
      <c r="A19" s="42" t="s">
        <v>27</v>
      </c>
      <c r="B19" s="18">
        <v>0.49</v>
      </c>
      <c r="C19" s="29">
        <f>+(+D19+F19+H19+J19+L19+N19+P19+R19+T19+V19+X19+Z19)/12</f>
        <v>-100</v>
      </c>
      <c r="D19" s="30">
        <v>0</v>
      </c>
      <c r="E19" s="31">
        <f>+B18*D19</f>
        <v>0</v>
      </c>
      <c r="F19" s="30">
        <v>0</v>
      </c>
      <c r="G19" s="31">
        <f>+B18*F19</f>
        <v>0</v>
      </c>
      <c r="H19" s="30">
        <v>-200</v>
      </c>
      <c r="I19" s="31">
        <f>+B18*H19</f>
        <v>-122</v>
      </c>
      <c r="J19" s="30">
        <v>-300</v>
      </c>
      <c r="K19" s="31">
        <f>+B18*J19</f>
        <v>-183</v>
      </c>
      <c r="L19" s="30">
        <v>0</v>
      </c>
      <c r="M19" s="31">
        <f>+B18*L19</f>
        <v>0</v>
      </c>
      <c r="N19" s="30">
        <v>-300</v>
      </c>
      <c r="O19" s="31">
        <f>+B18*N19</f>
        <v>-183</v>
      </c>
      <c r="P19" s="30">
        <v>-200</v>
      </c>
      <c r="Q19" s="31">
        <f>+B18*P19</f>
        <v>-122</v>
      </c>
      <c r="R19" s="30">
        <v>-200</v>
      </c>
      <c r="S19" s="31">
        <f>+B18*R19</f>
        <v>-122</v>
      </c>
      <c r="T19" s="30">
        <v>0</v>
      </c>
      <c r="U19" s="31"/>
      <c r="V19" s="30">
        <v>0</v>
      </c>
      <c r="W19" s="31">
        <f>+B18*V19</f>
        <v>0</v>
      </c>
      <c r="X19" s="30">
        <v>0</v>
      </c>
      <c r="Y19" s="31">
        <f>+B18*X19</f>
        <v>0</v>
      </c>
      <c r="Z19" s="30">
        <v>0</v>
      </c>
      <c r="AA19" s="43">
        <f>+B18*Z19</f>
        <v>0</v>
      </c>
      <c r="AB19" s="60">
        <f t="shared" ref="AB19:AC19" si="4">+D19+F19+H19+J19+L19+N19+P19+R19+T19+V19+X19+Z19</f>
        <v>-1200</v>
      </c>
      <c r="AC19" s="1">
        <f t="shared" si="4"/>
        <v>-732</v>
      </c>
      <c r="AD19" s="19"/>
      <c r="AE19" s="1"/>
      <c r="AF19" s="1"/>
      <c r="AG19" s="1"/>
    </row>
    <row r="20" spans="1:33" x14ac:dyDescent="0.2">
      <c r="A20" s="44" t="s">
        <v>15</v>
      </c>
      <c r="B20" s="34"/>
      <c r="C20" s="35"/>
      <c r="D20" s="36"/>
      <c r="E20" s="37">
        <v>220</v>
      </c>
      <c r="F20" s="36"/>
      <c r="G20" s="37">
        <v>0</v>
      </c>
      <c r="H20" s="36"/>
      <c r="I20" s="37">
        <v>220</v>
      </c>
      <c r="J20" s="36"/>
      <c r="K20" s="37">
        <v>330</v>
      </c>
      <c r="L20" s="36"/>
      <c r="M20" s="37">
        <v>0</v>
      </c>
      <c r="N20" s="36"/>
      <c r="O20" s="37">
        <v>330</v>
      </c>
      <c r="P20" s="36"/>
      <c r="Q20" s="37">
        <v>220</v>
      </c>
      <c r="R20" s="36"/>
      <c r="S20" s="37">
        <v>200</v>
      </c>
      <c r="T20" s="36"/>
      <c r="U20" s="37"/>
      <c r="V20" s="36"/>
      <c r="W20" s="37">
        <v>0</v>
      </c>
      <c r="X20" s="36"/>
      <c r="Y20" s="37">
        <v>0</v>
      </c>
      <c r="Z20" s="36"/>
      <c r="AA20" s="64">
        <v>0</v>
      </c>
      <c r="AB20" s="50"/>
      <c r="AC20" s="50">
        <f>+E20+G20+I20+K20+M20+O20+Q20+S20+U20+W20+Y20+AA20</f>
        <v>1520</v>
      </c>
      <c r="AD20" s="37">
        <f>+AC20/+AB19</f>
        <v>-1.2666666666666666</v>
      </c>
      <c r="AE20" s="1">
        <f>+AC18*AD20</f>
        <v>-3703.7333333333331</v>
      </c>
      <c r="AF20" s="1">
        <f>+R18*AD20</f>
        <v>-2133.0666666666666</v>
      </c>
      <c r="AG20" s="1">
        <f>+R18*B18</f>
        <v>1027.24</v>
      </c>
    </row>
    <row r="21" spans="1:33" ht="15.75" customHeight="1" x14ac:dyDescent="0.2">
      <c r="A21" s="40" t="s">
        <v>9</v>
      </c>
      <c r="B21" s="12">
        <v>0.48</v>
      </c>
      <c r="C21" s="13">
        <v>50</v>
      </c>
      <c r="D21" s="57">
        <v>840</v>
      </c>
      <c r="E21" s="27">
        <f>+D21/C21</f>
        <v>16.8</v>
      </c>
      <c r="F21" s="26">
        <f>+D21+D22</f>
        <v>840</v>
      </c>
      <c r="G21" s="27">
        <f>+F21/C21</f>
        <v>16.8</v>
      </c>
      <c r="H21" s="26">
        <f>+F21+F22+360</f>
        <v>1200</v>
      </c>
      <c r="I21" s="27">
        <f>+H21/C21</f>
        <v>24</v>
      </c>
      <c r="J21" s="26">
        <f>+H21+H22</f>
        <v>1200</v>
      </c>
      <c r="K21" s="27">
        <f>+J21/C21</f>
        <v>24</v>
      </c>
      <c r="L21" s="26">
        <f>+J21+J22</f>
        <v>1200</v>
      </c>
      <c r="M21" s="27">
        <f>+L21/C21</f>
        <v>24</v>
      </c>
      <c r="N21" s="26">
        <f>+L21+L22</f>
        <v>1000</v>
      </c>
      <c r="O21" s="27">
        <f>+N21/C21</f>
        <v>20</v>
      </c>
      <c r="P21" s="26">
        <f>+N21+N22</f>
        <v>900</v>
      </c>
      <c r="Q21" s="27">
        <f>+P21/C21</f>
        <v>18</v>
      </c>
      <c r="R21" s="26">
        <f>+P21+P22</f>
        <v>900</v>
      </c>
      <c r="S21" s="27">
        <f>+R21/C21</f>
        <v>18</v>
      </c>
      <c r="T21" s="26">
        <f>+R21+R22</f>
        <v>700</v>
      </c>
      <c r="U21" s="27">
        <f>+T21/C21</f>
        <v>14</v>
      </c>
      <c r="V21" s="26">
        <f>+T21+T22</f>
        <v>550</v>
      </c>
      <c r="W21" s="27">
        <f>+V21/C21</f>
        <v>11</v>
      </c>
      <c r="X21" s="26">
        <f>+V21+V22</f>
        <v>550</v>
      </c>
      <c r="Y21" s="27">
        <f>+X21/C21</f>
        <v>11</v>
      </c>
      <c r="Z21" s="26">
        <f>+X21+X22</f>
        <v>550</v>
      </c>
      <c r="AA21" s="27">
        <f>+Z21/C21</f>
        <v>11</v>
      </c>
      <c r="AB21" s="58">
        <f>+Z21+Z22</f>
        <v>550</v>
      </c>
      <c r="AC21" s="59">
        <f>+C21*AA21</f>
        <v>550</v>
      </c>
      <c r="AD21" s="13"/>
      <c r="AE21" s="1"/>
      <c r="AF21" s="1"/>
      <c r="AG21" s="1"/>
    </row>
    <row r="22" spans="1:33" ht="15.75" customHeight="1" x14ac:dyDescent="0.2">
      <c r="A22" s="66" t="s">
        <v>27</v>
      </c>
      <c r="B22" s="18">
        <v>0.38</v>
      </c>
      <c r="C22" s="29">
        <f>+(+D22+F22+H22+J22+L22+N22+P22+R22+T22+V22+X22+Z22)/12</f>
        <v>-54.166666666666664</v>
      </c>
      <c r="D22" s="30">
        <v>0</v>
      </c>
      <c r="E22" s="31">
        <f>+B21*D22</f>
        <v>0</v>
      </c>
      <c r="F22" s="30">
        <v>0</v>
      </c>
      <c r="G22" s="31">
        <f>+B21*F22</f>
        <v>0</v>
      </c>
      <c r="H22" s="30">
        <v>0</v>
      </c>
      <c r="I22" s="31">
        <f>+B21*H22</f>
        <v>0</v>
      </c>
      <c r="J22" s="30">
        <v>0</v>
      </c>
      <c r="K22" s="31">
        <f>+B21*J22</f>
        <v>0</v>
      </c>
      <c r="L22" s="30">
        <v>-200</v>
      </c>
      <c r="M22" s="31">
        <f>+B21*L22</f>
        <v>-96</v>
      </c>
      <c r="N22" s="30">
        <v>-100</v>
      </c>
      <c r="O22" s="31">
        <f>+B21*N22</f>
        <v>-48</v>
      </c>
      <c r="P22" s="30">
        <v>0</v>
      </c>
      <c r="Q22" s="31">
        <f>+B21*P22</f>
        <v>0</v>
      </c>
      <c r="R22" s="30">
        <v>-200</v>
      </c>
      <c r="S22" s="31">
        <f>+B21*R22</f>
        <v>-96</v>
      </c>
      <c r="T22" s="30">
        <v>-150</v>
      </c>
      <c r="U22" s="31">
        <f>+B21*T22</f>
        <v>-72</v>
      </c>
      <c r="V22" s="30">
        <v>0</v>
      </c>
      <c r="W22" s="31">
        <f>+B21*V22</f>
        <v>0</v>
      </c>
      <c r="X22" s="30">
        <v>0</v>
      </c>
      <c r="Y22" s="31">
        <f>+B21*X22</f>
        <v>0</v>
      </c>
      <c r="Z22" s="30">
        <v>0</v>
      </c>
      <c r="AA22" s="31">
        <f>+B21*Z22</f>
        <v>0</v>
      </c>
      <c r="AB22" s="60">
        <f t="shared" ref="AB22:AC22" si="5">+D22+F22+H22+J22+L22+N22+P22+R22+T22+V22+X22+Z22</f>
        <v>-650</v>
      </c>
      <c r="AC22" s="1">
        <f t="shared" si="5"/>
        <v>-312</v>
      </c>
      <c r="AD22" s="19"/>
      <c r="AE22" s="1"/>
      <c r="AF22" s="1"/>
      <c r="AG22" s="1"/>
    </row>
    <row r="23" spans="1:33" ht="15.75" customHeight="1" x14ac:dyDescent="0.2">
      <c r="A23" s="33" t="s">
        <v>15</v>
      </c>
      <c r="B23" s="34"/>
      <c r="C23" s="35"/>
      <c r="D23" s="36"/>
      <c r="E23" s="37">
        <v>0</v>
      </c>
      <c r="F23" s="36"/>
      <c r="G23" s="37">
        <v>0</v>
      </c>
      <c r="H23" s="36"/>
      <c r="I23" s="37">
        <v>0</v>
      </c>
      <c r="J23" s="36"/>
      <c r="K23" s="37">
        <v>0</v>
      </c>
      <c r="L23" s="36"/>
      <c r="M23" s="37">
        <v>200</v>
      </c>
      <c r="N23" s="36"/>
      <c r="O23" s="37">
        <v>100</v>
      </c>
      <c r="P23" s="36"/>
      <c r="Q23" s="37">
        <v>0</v>
      </c>
      <c r="R23" s="36"/>
      <c r="S23" s="37">
        <v>200</v>
      </c>
      <c r="T23" s="36"/>
      <c r="U23" s="37">
        <v>150</v>
      </c>
      <c r="V23" s="36"/>
      <c r="W23" s="37">
        <v>0</v>
      </c>
      <c r="X23" s="36"/>
      <c r="Y23" s="37">
        <v>0</v>
      </c>
      <c r="Z23" s="36"/>
      <c r="AA23" s="37">
        <v>0</v>
      </c>
      <c r="AB23" s="50"/>
      <c r="AC23" s="50">
        <f>+E23+G23+I23+K23+M23+O23+Q23+S23+U23+W23+Y23+AA23</f>
        <v>650</v>
      </c>
      <c r="AD23" s="37">
        <f>+AC23/+AB22</f>
        <v>-1</v>
      </c>
      <c r="AE23" s="1">
        <f>+AC21*AD23</f>
        <v>-550</v>
      </c>
      <c r="AF23" s="1">
        <f>+R21*AD23</f>
        <v>-900</v>
      </c>
      <c r="AG23" s="1">
        <f>+R21*B21</f>
        <v>432</v>
      </c>
    </row>
    <row r="24" spans="1:33" ht="15.75" customHeight="1" x14ac:dyDescent="0.2">
      <c r="A24" s="67"/>
      <c r="B24" s="18"/>
      <c r="C24" s="19"/>
      <c r="D24" s="30"/>
      <c r="E24" s="32"/>
      <c r="F24" s="30"/>
      <c r="G24" s="32"/>
      <c r="H24" s="30"/>
      <c r="I24" s="32"/>
      <c r="J24" s="30"/>
      <c r="K24" s="32"/>
      <c r="L24" s="30"/>
      <c r="M24" s="32"/>
      <c r="N24" s="30"/>
      <c r="O24" s="32"/>
      <c r="P24" s="30"/>
      <c r="Q24" s="32"/>
      <c r="R24" s="30"/>
      <c r="S24" s="32"/>
      <c r="T24" s="30"/>
      <c r="U24" s="32"/>
      <c r="V24" s="30"/>
      <c r="W24" s="32"/>
      <c r="X24" s="30"/>
      <c r="Y24" s="32"/>
      <c r="Z24" s="30"/>
      <c r="AA24" s="32"/>
      <c r="AB24" s="3"/>
      <c r="AE24" s="1"/>
      <c r="AF24" s="1"/>
      <c r="AG24" s="1"/>
    </row>
    <row r="25" spans="1:33" ht="15.75" customHeight="1" x14ac:dyDescent="0.2">
      <c r="A25" s="25" t="s">
        <v>10</v>
      </c>
      <c r="B25" s="12">
        <v>1.1000000000000001</v>
      </c>
      <c r="C25" s="13">
        <v>200</v>
      </c>
      <c r="D25" s="57">
        <v>2008</v>
      </c>
      <c r="E25" s="27">
        <f>+D25/C25</f>
        <v>10.039999999999999</v>
      </c>
      <c r="F25" s="26">
        <f>+D25+D26</f>
        <v>2008</v>
      </c>
      <c r="G25" s="27">
        <f>+F25/C25</f>
        <v>10.039999999999999</v>
      </c>
      <c r="H25" s="26">
        <f>+F25+F26</f>
        <v>2008</v>
      </c>
      <c r="I25" s="27">
        <f>+H25/C25</f>
        <v>10.039999999999999</v>
      </c>
      <c r="J25" s="26">
        <f>+H25+H26</f>
        <v>1508</v>
      </c>
      <c r="K25" s="27">
        <f>+J25/C25</f>
        <v>7.54</v>
      </c>
      <c r="L25" s="26">
        <f>+J25+J26</f>
        <v>1508</v>
      </c>
      <c r="M25" s="27">
        <f>+L25/C25</f>
        <v>7.54</v>
      </c>
      <c r="N25" s="26">
        <f>+L25+L26</f>
        <v>1508</v>
      </c>
      <c r="O25" s="27">
        <f>+N25/C25</f>
        <v>7.54</v>
      </c>
      <c r="P25" s="26">
        <f>+N25+N26+2400</f>
        <v>3408</v>
      </c>
      <c r="Q25" s="27">
        <f>+P25/C25</f>
        <v>17.04</v>
      </c>
      <c r="R25" s="26">
        <f>+P25+P26</f>
        <v>3408</v>
      </c>
      <c r="S25" s="27">
        <f>+R25/C25</f>
        <v>17.04</v>
      </c>
      <c r="T25" s="26">
        <f>+R25+R26</f>
        <v>2908</v>
      </c>
      <c r="U25" s="27">
        <f>+T25/C25</f>
        <v>14.54</v>
      </c>
      <c r="V25" s="26">
        <f>+T25+T26</f>
        <v>2408</v>
      </c>
      <c r="W25" s="27">
        <f>+V25/C25</f>
        <v>12.04</v>
      </c>
      <c r="X25" s="26">
        <f>+V25+V26</f>
        <v>2408</v>
      </c>
      <c r="Y25" s="27">
        <f>+X25/C25</f>
        <v>12.04</v>
      </c>
      <c r="Z25" s="26">
        <f>+X25+X26</f>
        <v>1908</v>
      </c>
      <c r="AA25" s="27">
        <f>+Z25/C25</f>
        <v>9.5399999999999991</v>
      </c>
      <c r="AB25" s="58">
        <f>+Z25+Z26</f>
        <v>1908</v>
      </c>
      <c r="AC25" s="59">
        <f>+C25*AA25</f>
        <v>1907.9999999999998</v>
      </c>
      <c r="AD25" s="13"/>
      <c r="AE25" s="1"/>
      <c r="AF25" s="1"/>
      <c r="AG25" s="1"/>
    </row>
    <row r="26" spans="1:33" ht="15.75" customHeight="1" x14ac:dyDescent="0.2">
      <c r="A26" s="28" t="s">
        <v>27</v>
      </c>
      <c r="B26" s="18">
        <v>0.62</v>
      </c>
      <c r="C26" s="29">
        <f>+(+D26+F26+H26+J26+L26+N26+P26+R26+T26+V26+X26+Z26)/12</f>
        <v>-208.33333333333334</v>
      </c>
      <c r="D26" s="30">
        <v>0</v>
      </c>
      <c r="E26" s="31">
        <f>+B25*D26</f>
        <v>0</v>
      </c>
      <c r="F26" s="30">
        <v>0</v>
      </c>
      <c r="G26" s="31">
        <f>+B25*F26</f>
        <v>0</v>
      </c>
      <c r="H26" s="30">
        <v>-500</v>
      </c>
      <c r="I26" s="31">
        <f>+B25*H26</f>
        <v>-550</v>
      </c>
      <c r="J26" s="30">
        <v>0</v>
      </c>
      <c r="K26" s="31">
        <f>+B25*J26</f>
        <v>0</v>
      </c>
      <c r="L26" s="30">
        <v>0</v>
      </c>
      <c r="M26" s="31">
        <f>+B25*L26</f>
        <v>0</v>
      </c>
      <c r="N26" s="30">
        <v>-500</v>
      </c>
      <c r="O26" s="31">
        <f>+B25*N26</f>
        <v>-550</v>
      </c>
      <c r="P26" s="30">
        <v>0</v>
      </c>
      <c r="Q26" s="31">
        <f>+B25*P26</f>
        <v>0</v>
      </c>
      <c r="R26" s="30">
        <v>-500</v>
      </c>
      <c r="S26" s="31">
        <f>+B25*R26</f>
        <v>-550</v>
      </c>
      <c r="T26" s="30">
        <v>-500</v>
      </c>
      <c r="U26" s="31">
        <f>+B25*T26</f>
        <v>-550</v>
      </c>
      <c r="V26" s="30">
        <v>0</v>
      </c>
      <c r="W26" s="31">
        <f>+B25*V26</f>
        <v>0</v>
      </c>
      <c r="X26" s="30">
        <v>-500</v>
      </c>
      <c r="Y26" s="31">
        <f>+B25*X26</f>
        <v>-550</v>
      </c>
      <c r="Z26" s="30">
        <v>0</v>
      </c>
      <c r="AA26" s="31">
        <f>+B25*Z26</f>
        <v>0</v>
      </c>
      <c r="AB26" s="60">
        <f t="shared" ref="AB26:AC26" si="6">+D26+F26+H26+J26+L26+N26+P26+R26+T26+V26+X26+Z26</f>
        <v>-2500</v>
      </c>
      <c r="AC26" s="1">
        <f t="shared" si="6"/>
        <v>-2750</v>
      </c>
      <c r="AD26" s="19"/>
      <c r="AE26" s="1"/>
      <c r="AF26" s="1"/>
      <c r="AG26" s="1"/>
    </row>
    <row r="27" spans="1:33" ht="15.75" customHeight="1" x14ac:dyDescent="0.2">
      <c r="A27" s="42" t="s">
        <v>15</v>
      </c>
      <c r="B27" s="34"/>
      <c r="C27" s="35"/>
      <c r="D27" s="36"/>
      <c r="E27" s="37">
        <v>0</v>
      </c>
      <c r="F27" s="36"/>
      <c r="G27" s="37">
        <v>0</v>
      </c>
      <c r="H27" s="36"/>
      <c r="I27" s="37">
        <v>1650</v>
      </c>
      <c r="J27" s="36"/>
      <c r="K27" s="37">
        <v>0</v>
      </c>
      <c r="L27" s="36"/>
      <c r="M27" s="37">
        <v>0</v>
      </c>
      <c r="N27" s="36"/>
      <c r="O27" s="37">
        <v>1650</v>
      </c>
      <c r="P27" s="36"/>
      <c r="Q27" s="37">
        <v>0</v>
      </c>
      <c r="R27" s="36"/>
      <c r="S27" s="37">
        <v>1770</v>
      </c>
      <c r="T27" s="36"/>
      <c r="U27" s="37">
        <v>1650</v>
      </c>
      <c r="V27" s="36"/>
      <c r="W27" s="37">
        <v>0</v>
      </c>
      <c r="X27" s="36"/>
      <c r="Y27" s="37">
        <v>1770</v>
      </c>
      <c r="Z27" s="36"/>
      <c r="AA27" s="37">
        <v>0</v>
      </c>
      <c r="AB27" s="50"/>
      <c r="AC27" s="50">
        <f>+E27+G27+I27+K27+M27+O27+Q27+S27+U27+W27+Y27+AA27</f>
        <v>8490</v>
      </c>
      <c r="AD27" s="37">
        <f>+AC27/+AB26</f>
        <v>-3.3959999999999999</v>
      </c>
      <c r="AE27" s="1">
        <f>+AC25*AD27</f>
        <v>-6479.5679999999993</v>
      </c>
      <c r="AF27" s="1">
        <f>+R25*AD27</f>
        <v>-11573.567999999999</v>
      </c>
      <c r="AG27" s="1">
        <f>+R25*B25</f>
        <v>3748.8</v>
      </c>
    </row>
    <row r="28" spans="1:33" ht="15.75" customHeight="1" x14ac:dyDescent="0.2">
      <c r="A28" s="28" t="s">
        <v>11</v>
      </c>
      <c r="B28" s="12">
        <v>1.1000000000000001</v>
      </c>
      <c r="C28" s="13">
        <v>375</v>
      </c>
      <c r="D28" s="57">
        <v>3464</v>
      </c>
      <c r="E28" s="27">
        <f>+D28/C28</f>
        <v>9.2373333333333338</v>
      </c>
      <c r="F28" s="26">
        <f>+D28+D29</f>
        <v>3464</v>
      </c>
      <c r="G28" s="27">
        <f>+F28/C28</f>
        <v>9.2373333333333338</v>
      </c>
      <c r="H28" s="26">
        <f>+F28+F29</f>
        <v>2964</v>
      </c>
      <c r="I28" s="27">
        <f>+H28/C28</f>
        <v>7.9039999999999999</v>
      </c>
      <c r="J28" s="26">
        <f>+H28+H29</f>
        <v>2464</v>
      </c>
      <c r="K28" s="27">
        <f>+J28/C28</f>
        <v>6.5706666666666669</v>
      </c>
      <c r="L28" s="26">
        <f>+J28+J29</f>
        <v>1964</v>
      </c>
      <c r="M28" s="27">
        <f>+L28/C28</f>
        <v>5.237333333333333</v>
      </c>
      <c r="N28" s="26">
        <f>+L28+L29</f>
        <v>1964</v>
      </c>
      <c r="O28" s="27">
        <f>+N28/C28</f>
        <v>5.237333333333333</v>
      </c>
      <c r="P28" s="26">
        <f>+N28+N29+5040</f>
        <v>6504</v>
      </c>
      <c r="Q28" s="27">
        <f>+P28/C28</f>
        <v>17.344000000000001</v>
      </c>
      <c r="R28" s="26">
        <f>+P28+P29</f>
        <v>6004</v>
      </c>
      <c r="S28" s="27">
        <f>+R28/C28</f>
        <v>16.010666666666665</v>
      </c>
      <c r="T28" s="26">
        <f>+R28+R29</f>
        <v>5504</v>
      </c>
      <c r="U28" s="27">
        <f>+T28/C28</f>
        <v>14.677333333333333</v>
      </c>
      <c r="V28" s="26">
        <f>+T28+T29</f>
        <v>5004</v>
      </c>
      <c r="W28" s="27">
        <f>+V28/C28</f>
        <v>13.343999999999999</v>
      </c>
      <c r="X28" s="26">
        <f>+V28+V29</f>
        <v>4504</v>
      </c>
      <c r="Y28" s="27">
        <f>+X28/C28</f>
        <v>12.010666666666667</v>
      </c>
      <c r="Z28" s="26">
        <f>+X28+X29</f>
        <v>4504</v>
      </c>
      <c r="AA28" s="27">
        <f>+Z28/C28</f>
        <v>12.010666666666667</v>
      </c>
      <c r="AB28" s="58">
        <f>+Z28+Z29</f>
        <v>4004</v>
      </c>
      <c r="AC28" s="59">
        <f>+C28*AA28</f>
        <v>4504</v>
      </c>
      <c r="AD28" s="13"/>
      <c r="AE28" s="1"/>
      <c r="AF28" s="1"/>
      <c r="AG28" s="1"/>
    </row>
    <row r="29" spans="1:33" ht="15.75" customHeight="1" x14ac:dyDescent="0.2">
      <c r="A29" s="28" t="s">
        <v>27</v>
      </c>
      <c r="B29" s="18">
        <v>0.86</v>
      </c>
      <c r="C29" s="29">
        <f>+(+D29+F29+H29+J29+L29+N29+P29+R29+T29+V29+X29+Z29)/12</f>
        <v>-375</v>
      </c>
      <c r="D29" s="30">
        <v>0</v>
      </c>
      <c r="E29" s="31">
        <f>+B28*D29</f>
        <v>0</v>
      </c>
      <c r="F29" s="30">
        <v>-500</v>
      </c>
      <c r="G29" s="31">
        <f>+B28*F29</f>
        <v>-550</v>
      </c>
      <c r="H29" s="30">
        <v>-500</v>
      </c>
      <c r="I29" s="31">
        <f>+B28*H29</f>
        <v>-550</v>
      </c>
      <c r="J29" s="30">
        <v>-500</v>
      </c>
      <c r="K29" s="31">
        <f>+B28*J29</f>
        <v>-550</v>
      </c>
      <c r="L29" s="30">
        <v>0</v>
      </c>
      <c r="M29" s="31">
        <f>+B28*L29</f>
        <v>0</v>
      </c>
      <c r="N29" s="30">
        <v>-500</v>
      </c>
      <c r="O29" s="31">
        <f>+B28*N29</f>
        <v>-550</v>
      </c>
      <c r="P29" s="30">
        <v>-500</v>
      </c>
      <c r="Q29" s="31">
        <f>+B28*P29</f>
        <v>-550</v>
      </c>
      <c r="R29" s="30">
        <v>-500</v>
      </c>
      <c r="S29" s="31">
        <f>+B28*R29</f>
        <v>-550</v>
      </c>
      <c r="T29" s="30">
        <v>-500</v>
      </c>
      <c r="U29" s="31">
        <f>+B28*T29</f>
        <v>-550</v>
      </c>
      <c r="V29" s="30">
        <v>-500</v>
      </c>
      <c r="W29" s="31">
        <f>+B28*V29</f>
        <v>-550</v>
      </c>
      <c r="X29" s="30">
        <v>0</v>
      </c>
      <c r="Y29" s="31">
        <f>+B28*X29</f>
        <v>0</v>
      </c>
      <c r="Z29" s="30">
        <v>-500</v>
      </c>
      <c r="AA29" s="31">
        <f>+B28*Z29</f>
        <v>-550</v>
      </c>
      <c r="AB29" s="60">
        <f t="shared" ref="AB29:AC29" si="7">+D29+F29+H29+J29+L29+N29+P29+R29+T29+V29+X29+Z29</f>
        <v>-4500</v>
      </c>
      <c r="AC29" s="1">
        <f t="shared" si="7"/>
        <v>-4950</v>
      </c>
      <c r="AD29" s="19"/>
      <c r="AE29" s="1"/>
      <c r="AF29" s="1"/>
      <c r="AG29" s="1"/>
    </row>
    <row r="30" spans="1:33" ht="15.75" customHeight="1" x14ac:dyDescent="0.2">
      <c r="A30" s="42" t="s">
        <v>15</v>
      </c>
      <c r="B30" s="34"/>
      <c r="C30" s="35"/>
      <c r="D30" s="36"/>
      <c r="E30" s="37">
        <v>0</v>
      </c>
      <c r="F30" s="36"/>
      <c r="G30" s="37">
        <v>1650</v>
      </c>
      <c r="H30" s="36"/>
      <c r="I30" s="37">
        <v>1650</v>
      </c>
      <c r="J30" s="36"/>
      <c r="K30" s="37">
        <v>1650</v>
      </c>
      <c r="L30" s="36"/>
      <c r="M30" s="37">
        <v>0</v>
      </c>
      <c r="N30" s="36"/>
      <c r="O30" s="37">
        <v>1650</v>
      </c>
      <c r="P30" s="36"/>
      <c r="Q30" s="37">
        <v>1650</v>
      </c>
      <c r="R30" s="36"/>
      <c r="S30" s="37">
        <v>1770</v>
      </c>
      <c r="T30" s="36"/>
      <c r="U30" s="37">
        <v>1770</v>
      </c>
      <c r="V30" s="36"/>
      <c r="W30" s="37">
        <v>1770</v>
      </c>
      <c r="X30" s="36"/>
      <c r="Y30" s="37">
        <v>0</v>
      </c>
      <c r="Z30" s="36"/>
      <c r="AA30" s="37">
        <v>1770</v>
      </c>
      <c r="AB30" s="50"/>
      <c r="AC30" s="50">
        <f>+E30+G30+I30+K30+M30+O30+Q30+S30+U30+W30+Y30+AA30</f>
        <v>15330</v>
      </c>
      <c r="AD30" s="37">
        <f>+AC30/+AB29</f>
        <v>-3.4066666666666667</v>
      </c>
      <c r="AE30" s="1">
        <f>+AC28*AD30</f>
        <v>-15343.626666666667</v>
      </c>
      <c r="AF30" s="1">
        <f>+R28*AD30</f>
        <v>-20453.626666666667</v>
      </c>
      <c r="AG30" s="1">
        <f>+R28*B28</f>
        <v>6604.4000000000005</v>
      </c>
    </row>
    <row r="31" spans="1:33" ht="15.75" customHeight="1" x14ac:dyDescent="0.2">
      <c r="A31" s="59"/>
      <c r="B31" s="18"/>
      <c r="C31" s="19"/>
      <c r="D31" s="30"/>
      <c r="E31" s="32"/>
      <c r="F31" s="30"/>
      <c r="G31" s="32"/>
      <c r="H31" s="30"/>
      <c r="I31" s="32"/>
      <c r="J31" s="30"/>
      <c r="K31" s="32"/>
      <c r="L31" s="30"/>
      <c r="M31" s="32"/>
      <c r="N31" s="30"/>
      <c r="O31" s="32"/>
      <c r="P31" s="30"/>
      <c r="Q31" s="32"/>
      <c r="R31" s="30"/>
      <c r="S31" s="32"/>
      <c r="T31" s="30"/>
      <c r="U31" s="32"/>
      <c r="V31" s="30"/>
      <c r="W31" s="32"/>
      <c r="X31" s="30"/>
      <c r="Y31" s="32"/>
      <c r="Z31" s="30"/>
      <c r="AA31" s="32"/>
      <c r="AB31" s="3"/>
      <c r="AE31" s="1"/>
      <c r="AF31" s="1"/>
      <c r="AG31" s="1"/>
    </row>
    <row r="32" spans="1:33" ht="15.75" customHeight="1" x14ac:dyDescent="0.2">
      <c r="A32" s="25" t="s">
        <v>12</v>
      </c>
      <c r="B32" s="12">
        <v>1.83</v>
      </c>
      <c r="C32" s="13">
        <v>300</v>
      </c>
      <c r="D32" s="59">
        <v>2492</v>
      </c>
      <c r="E32" s="27">
        <f>+D32/C32</f>
        <v>8.3066666666666666</v>
      </c>
      <c r="F32" s="26">
        <f>+D32+D33</f>
        <v>2372</v>
      </c>
      <c r="G32" s="27">
        <f>+F32/C32</f>
        <v>7.9066666666666663</v>
      </c>
      <c r="H32" s="26">
        <f>+F32+F33</f>
        <v>2172</v>
      </c>
      <c r="I32" s="27">
        <f>+H32/C32</f>
        <v>7.24</v>
      </c>
      <c r="J32" s="26">
        <f>+H32+H33</f>
        <v>1577</v>
      </c>
      <c r="K32" s="27">
        <f>+J32/C32</f>
        <v>5.2566666666666668</v>
      </c>
      <c r="L32" s="26">
        <f>+J32+J33</f>
        <v>1577</v>
      </c>
      <c r="M32" s="27">
        <f>+L32/C32</f>
        <v>5.2566666666666668</v>
      </c>
      <c r="N32" s="26">
        <f>+L32+L33</f>
        <v>1549</v>
      </c>
      <c r="O32" s="27">
        <f>+N32/C32</f>
        <v>5.1633333333333331</v>
      </c>
      <c r="P32" s="26">
        <f>+N32+N33</f>
        <v>839</v>
      </c>
      <c r="Q32" s="27">
        <f>+P32/C32</f>
        <v>2.7966666666666669</v>
      </c>
      <c r="R32" s="26">
        <f>+P32+P33+5712</f>
        <v>6251</v>
      </c>
      <c r="S32" s="27">
        <f>+R32/C32</f>
        <v>20.836666666666666</v>
      </c>
      <c r="T32" s="26">
        <f>+R32+R33</f>
        <v>5751</v>
      </c>
      <c r="U32" s="27">
        <f>+T32/C32</f>
        <v>19.170000000000002</v>
      </c>
      <c r="V32" s="26">
        <f>+T32+T33</f>
        <v>5551</v>
      </c>
      <c r="W32" s="27">
        <f>+V32/C32</f>
        <v>18.503333333333334</v>
      </c>
      <c r="X32" s="26">
        <f>+V32+V33</f>
        <v>5051</v>
      </c>
      <c r="Y32" s="27">
        <f>+X32/C32</f>
        <v>16.836666666666666</v>
      </c>
      <c r="Z32" s="26">
        <f>+X32+X33</f>
        <v>4551</v>
      </c>
      <c r="AA32" s="27">
        <f>+Z32/C32</f>
        <v>15.17</v>
      </c>
      <c r="AB32" s="58">
        <f>+Z32+Z33</f>
        <v>3241</v>
      </c>
      <c r="AC32" s="59">
        <f>+C32*AA32</f>
        <v>4551</v>
      </c>
      <c r="AD32" s="13"/>
      <c r="AE32" s="1"/>
      <c r="AF32" s="1"/>
      <c r="AG32" s="1"/>
    </row>
    <row r="33" spans="1:33" ht="15.75" customHeight="1" x14ac:dyDescent="0.2">
      <c r="A33" s="28" t="s">
        <v>27</v>
      </c>
      <c r="B33" s="18">
        <v>1.6</v>
      </c>
      <c r="C33" s="29">
        <f>+(+D33+F33+H33+J33+L33+N33+P33+R33+T33+V33+X33+Z33)/12</f>
        <v>-413.58333333333331</v>
      </c>
      <c r="D33" s="4">
        <v>-120</v>
      </c>
      <c r="E33" s="31">
        <f>+B32*D33</f>
        <v>-219.60000000000002</v>
      </c>
      <c r="F33" s="30">
        <v>-200</v>
      </c>
      <c r="G33" s="31">
        <f>+B32*F33</f>
        <v>-366</v>
      </c>
      <c r="H33" s="30">
        <v>-595</v>
      </c>
      <c r="I33" s="31">
        <f>+B32*H33</f>
        <v>-1088.8500000000001</v>
      </c>
      <c r="J33" s="30">
        <v>0</v>
      </c>
      <c r="K33" s="31">
        <f>+B32*J33</f>
        <v>0</v>
      </c>
      <c r="L33" s="30">
        <v>-28</v>
      </c>
      <c r="M33" s="31">
        <f>+B32*L33</f>
        <v>-51.24</v>
      </c>
      <c r="N33" s="30">
        <v>-710</v>
      </c>
      <c r="O33" s="31">
        <f>+B32*N33</f>
        <v>-1299.3</v>
      </c>
      <c r="P33" s="30">
        <v>-300</v>
      </c>
      <c r="Q33" s="31">
        <f>+B32*P33</f>
        <v>-549</v>
      </c>
      <c r="R33" s="30">
        <v>-500</v>
      </c>
      <c r="S33" s="31">
        <f>+B32*R33</f>
        <v>-915</v>
      </c>
      <c r="T33" s="30">
        <v>-200</v>
      </c>
      <c r="U33" s="31">
        <f>+B32*T33</f>
        <v>-366</v>
      </c>
      <c r="V33" s="30">
        <v>-500</v>
      </c>
      <c r="W33" s="31">
        <f>+B32*V33</f>
        <v>-915</v>
      </c>
      <c r="X33" s="30">
        <v>-500</v>
      </c>
      <c r="Y33" s="31">
        <f>+B32*X33</f>
        <v>-915</v>
      </c>
      <c r="Z33" s="30">
        <v>-1310</v>
      </c>
      <c r="AA33" s="31">
        <f>+B32*Z33</f>
        <v>-2397.3000000000002</v>
      </c>
      <c r="AB33" s="60">
        <f t="shared" ref="AB33:AC33" si="8">+D33+F33+H33+J33+L33+N33+P33+R33+T33+V33+X33+Z33</f>
        <v>-4963</v>
      </c>
      <c r="AC33" s="1">
        <f t="shared" si="8"/>
        <v>-9082.2900000000009</v>
      </c>
      <c r="AD33" s="19"/>
      <c r="AE33" s="1"/>
      <c r="AF33" s="1"/>
      <c r="AG33" s="1"/>
    </row>
    <row r="34" spans="1:33" ht="15.75" customHeight="1" x14ac:dyDescent="0.2">
      <c r="A34" s="44" t="s">
        <v>15</v>
      </c>
      <c r="B34" s="68"/>
      <c r="C34" s="35"/>
      <c r="D34" s="67"/>
      <c r="E34" s="37">
        <v>738</v>
      </c>
      <c r="F34" s="67"/>
      <c r="G34" s="69">
        <v>1370</v>
      </c>
      <c r="H34" s="67"/>
      <c r="I34" s="37">
        <v>3628.25</v>
      </c>
      <c r="J34" s="67"/>
      <c r="K34" s="69">
        <v>0</v>
      </c>
      <c r="L34" s="67"/>
      <c r="M34" s="37">
        <v>172.2</v>
      </c>
      <c r="N34" s="67"/>
      <c r="O34" s="37">
        <v>4073.5</v>
      </c>
      <c r="P34" s="67"/>
      <c r="Q34" s="37">
        <v>1985</v>
      </c>
      <c r="R34" s="67"/>
      <c r="S34" s="37">
        <v>3285</v>
      </c>
      <c r="T34" s="67"/>
      <c r="U34" s="37">
        <v>1770</v>
      </c>
      <c r="V34" s="67"/>
      <c r="W34" s="37">
        <v>2670</v>
      </c>
      <c r="X34" s="67"/>
      <c r="Y34" s="37">
        <v>2670</v>
      </c>
      <c r="Z34" s="67"/>
      <c r="AA34" s="37">
        <v>7393.5</v>
      </c>
      <c r="AB34" s="50"/>
      <c r="AC34" s="50">
        <f>+E34+G34+I34+K34+M34+O34+Q34+S34+U34+W34+Y34+AA34</f>
        <v>29755.45</v>
      </c>
      <c r="AD34" s="37">
        <f>+AC34/+AB33</f>
        <v>-5.995456377191215</v>
      </c>
      <c r="AE34" s="1">
        <f>+AC32*AD34</f>
        <v>-27285.321972597219</v>
      </c>
      <c r="AF34" s="1">
        <f>+R32*AD34</f>
        <v>-37477.597813822285</v>
      </c>
      <c r="AG34" s="1">
        <f>+R32*B32</f>
        <v>11439.33</v>
      </c>
    </row>
    <row r="35" spans="1:33" ht="15.75" customHeight="1" x14ac:dyDescent="0.2">
      <c r="B35" s="6"/>
      <c r="C35" s="4">
        <f>SUM(C5:C33)</f>
        <v>-16.750000000000057</v>
      </c>
      <c r="E35" s="3"/>
      <c r="G35" s="3"/>
      <c r="I35" s="3"/>
      <c r="K35" s="3"/>
      <c r="AE35" s="1"/>
      <c r="AF35" s="1"/>
      <c r="AG35" s="1"/>
    </row>
    <row r="36" spans="1:33" ht="15.75" customHeight="1" x14ac:dyDescent="0.2">
      <c r="B36" s="6"/>
      <c r="E36" s="3"/>
      <c r="G36" s="3"/>
      <c r="I36" s="3"/>
      <c r="K36" s="3"/>
      <c r="AE36" s="1"/>
      <c r="AF36" s="1"/>
      <c r="AG36" s="1"/>
    </row>
    <row r="37" spans="1:33" ht="15.75" customHeight="1" x14ac:dyDescent="0.2">
      <c r="B37" s="6"/>
      <c r="E37" s="3"/>
      <c r="G37" s="3"/>
      <c r="I37" s="3"/>
      <c r="K37" s="3"/>
      <c r="AE37" s="1"/>
      <c r="AF37" s="1"/>
      <c r="AG37" s="1"/>
    </row>
    <row r="38" spans="1:33" ht="15.75" customHeight="1" x14ac:dyDescent="0.2">
      <c r="B38" s="6"/>
      <c r="E38" s="3"/>
      <c r="G38" s="3"/>
      <c r="I38" s="3"/>
      <c r="K38" s="3"/>
      <c r="AC38" s="4">
        <f>+AC5+AC8+AC11+AC15+AC18+AC21+AC25+AC28+AC32</f>
        <v>56785</v>
      </c>
      <c r="AD38" s="4" t="s">
        <v>58</v>
      </c>
      <c r="AE38" s="1">
        <f t="shared" ref="AE38:AG38" si="9">SUM(AE5:AE34)</f>
        <v>-136216.79422443139</v>
      </c>
      <c r="AF38" s="1">
        <f t="shared" si="9"/>
        <v>-153657.52336952253</v>
      </c>
      <c r="AG38" s="1">
        <f t="shared" si="9"/>
        <v>59972.610000000008</v>
      </c>
    </row>
    <row r="39" spans="1:33" ht="15.75" customHeight="1" x14ac:dyDescent="0.2">
      <c r="A39" s="45" t="s">
        <v>14</v>
      </c>
      <c r="B39" s="46"/>
      <c r="C39" s="46"/>
      <c r="D39" s="45"/>
      <c r="E39" s="47">
        <f t="shared" ref="E39:E40" si="10">+E6+E9+E12+E16+E19+E22+E26+E29+E33</f>
        <v>-2554.9599999999996</v>
      </c>
      <c r="F39" s="45"/>
      <c r="G39" s="47">
        <f t="shared" ref="G39:G40" si="11">+G6+G9+G12+G16+G19+G22+G26+G29+G33</f>
        <v>-3514.2000000000003</v>
      </c>
      <c r="H39" s="45"/>
      <c r="I39" s="47">
        <f t="shared" ref="I39:I40" si="12">+I6+I9+I12+I16+I19+I22+I26+I29+I33</f>
        <v>-6037.9700000000012</v>
      </c>
      <c r="J39" s="45"/>
      <c r="K39" s="47">
        <f t="shared" ref="K39:K40" si="13">+K6+K9+K12+K16+K19+K22+K26+K29+K33</f>
        <v>-1774.1</v>
      </c>
      <c r="L39" s="45"/>
      <c r="M39" s="47">
        <f t="shared" ref="M39:M40" si="14">+M6+M9+M12+M16+M19+M22+M26+M29+M33</f>
        <v>-5679.1600000000008</v>
      </c>
      <c r="N39" s="45"/>
      <c r="O39" s="47">
        <f t="shared" ref="O39:O40" si="15">+O6+O9+O12+O16+O19+O22+O26+O29+O33</f>
        <v>-6104.22</v>
      </c>
      <c r="P39" s="45"/>
      <c r="Q39" s="47">
        <f t="shared" ref="Q39:Q40" si="16">+Q6+Q9+Q12+Q16+Q19+Q22+Q26+Q29+Q33</f>
        <v>-4662.1200000000008</v>
      </c>
      <c r="R39" s="45"/>
      <c r="S39" s="47">
        <f t="shared" ref="S39:S40" si="17">+S6+S9+S12+S16+S19+S22+S26+S29+S33</f>
        <v>-3625.66</v>
      </c>
      <c r="T39" s="45"/>
      <c r="U39" s="47">
        <f t="shared" ref="U39:U40" si="18">+U6+U9+U12+U16+U19+U22+U26+U29+U33</f>
        <v>-5830.48</v>
      </c>
      <c r="V39" s="45"/>
      <c r="W39" s="47">
        <f>+W6+W9+W12+W16+W19+W22+W26+W29+W33</f>
        <v>-4757.96</v>
      </c>
      <c r="X39" s="45"/>
      <c r="Y39" s="47">
        <f t="shared" ref="Y39:Y40" si="19">+Y6+Y9+Y12+Y16+Y19+Y22+Y26+Y29+Y33</f>
        <v>-4205.16</v>
      </c>
      <c r="Z39" s="45"/>
      <c r="AA39" s="47">
        <f t="shared" ref="AA39:AA40" si="20">+AA6+AA9+AA12+AA16+AA19+AA22+AA26+AA29+AA33</f>
        <v>-7207.9400000000005</v>
      </c>
      <c r="AB39" s="1"/>
      <c r="AC39" s="1"/>
      <c r="AE39" s="1"/>
      <c r="AF39" s="1"/>
      <c r="AG39" s="1"/>
    </row>
    <row r="40" spans="1:33" ht="15.75" customHeight="1" x14ac:dyDescent="0.2">
      <c r="A40" s="48" t="s">
        <v>59</v>
      </c>
      <c r="B40" s="1"/>
      <c r="C40" s="1"/>
      <c r="D40" s="48">
        <v>0</v>
      </c>
      <c r="E40" s="31">
        <f t="shared" si="10"/>
        <v>7208.72</v>
      </c>
      <c r="F40" s="48">
        <v>0</v>
      </c>
      <c r="G40" s="31">
        <f t="shared" si="11"/>
        <v>8485.2800000000007</v>
      </c>
      <c r="H40" s="48">
        <v>0</v>
      </c>
      <c r="I40" s="31">
        <f t="shared" si="12"/>
        <v>14595.61</v>
      </c>
      <c r="J40" s="48">
        <v>0</v>
      </c>
      <c r="K40" s="31">
        <f t="shared" si="13"/>
        <v>3981.6</v>
      </c>
      <c r="L40" s="48">
        <v>-9139.2000000000007</v>
      </c>
      <c r="M40" s="31">
        <f t="shared" si="14"/>
        <v>9576.44</v>
      </c>
      <c r="N40" s="48">
        <v>-4500</v>
      </c>
      <c r="O40" s="31">
        <f t="shared" si="15"/>
        <v>14075.579999999998</v>
      </c>
      <c r="P40" s="48">
        <v>0</v>
      </c>
      <c r="Q40" s="31">
        <f t="shared" si="16"/>
        <v>13201.16</v>
      </c>
      <c r="R40" s="48">
        <v>0</v>
      </c>
      <c r="S40" s="31">
        <f t="shared" si="17"/>
        <v>10492.72</v>
      </c>
      <c r="T40" s="48">
        <v>0</v>
      </c>
      <c r="U40" s="31">
        <f t="shared" si="18"/>
        <v>14658.36</v>
      </c>
      <c r="V40" s="48">
        <v>-4062.8</v>
      </c>
      <c r="W40" s="31">
        <f>+W7+W10+W13+W17+W20+W23+W27+W30+W34+345.32</f>
        <v>10414.439999999999</v>
      </c>
      <c r="X40" s="48">
        <v>-9500</v>
      </c>
      <c r="Y40" s="31">
        <f t="shared" si="19"/>
        <v>11374.36</v>
      </c>
      <c r="Z40" s="48">
        <f>+AH39*0.3</f>
        <v>0</v>
      </c>
      <c r="AA40" s="31">
        <f t="shared" si="20"/>
        <v>19427.98</v>
      </c>
      <c r="AB40" s="1"/>
      <c r="AC40" s="1"/>
      <c r="AE40" s="1"/>
      <c r="AF40" s="1"/>
      <c r="AG40" s="1"/>
    </row>
    <row r="41" spans="1:33" ht="15.75" customHeight="1" x14ac:dyDescent="0.2">
      <c r="A41" s="48" t="s">
        <v>59</v>
      </c>
      <c r="B41" s="1">
        <v>0</v>
      </c>
      <c r="C41" s="1"/>
      <c r="D41" s="48">
        <v>7208.72</v>
      </c>
      <c r="E41" s="31">
        <f>+D41+E39</f>
        <v>4653.76</v>
      </c>
      <c r="F41" s="48">
        <v>8485.2800000000007</v>
      </c>
      <c r="G41" s="31">
        <f>+F41+G39</f>
        <v>4971.08</v>
      </c>
      <c r="H41" s="48">
        <v>14595.609999999999</v>
      </c>
      <c r="I41" s="31">
        <f>+H41+I39</f>
        <v>8557.6399999999976</v>
      </c>
      <c r="J41" s="48">
        <v>3983.1</v>
      </c>
      <c r="K41" s="31">
        <f>+J41+K39</f>
        <v>2209</v>
      </c>
      <c r="L41" s="70">
        <v>9586.44</v>
      </c>
      <c r="M41" s="31">
        <f>+L41+M39</f>
        <v>3907.2799999999997</v>
      </c>
      <c r="N41" s="48">
        <v>14075.58</v>
      </c>
      <c r="O41" s="31">
        <f>+N41+O39</f>
        <v>7971.36</v>
      </c>
      <c r="P41" s="48">
        <v>13201.16</v>
      </c>
      <c r="Q41" s="31">
        <f>+P41+Q39</f>
        <v>8539.0399999999991</v>
      </c>
      <c r="R41" s="48">
        <v>10492.720000000001</v>
      </c>
      <c r="S41" s="31">
        <f>+R41+S39</f>
        <v>6867.0600000000013</v>
      </c>
      <c r="T41" s="48">
        <v>14658.36</v>
      </c>
      <c r="U41" s="31">
        <f>+T41+U39</f>
        <v>8827.880000000001</v>
      </c>
      <c r="V41" s="48">
        <v>10429.439999999999</v>
      </c>
      <c r="W41" s="31">
        <f>+V41+W39</f>
        <v>5671.4799999999987</v>
      </c>
      <c r="X41" s="48">
        <v>11374.36</v>
      </c>
      <c r="Y41" s="31">
        <f>+X41+Y39</f>
        <v>7169.2000000000007</v>
      </c>
      <c r="Z41" s="48">
        <v>19427.98</v>
      </c>
      <c r="AA41" s="31">
        <f>+Z41+AA39</f>
        <v>12220.039999999999</v>
      </c>
      <c r="AB41" s="1"/>
      <c r="AC41" s="1">
        <f>+E41+G41+I41+K41+M41+O41+Q41+S41+U41+W41+Y41+AA41</f>
        <v>81564.819999999992</v>
      </c>
      <c r="AE41" s="1"/>
      <c r="AF41" s="1"/>
      <c r="AG41" s="1"/>
    </row>
    <row r="42" spans="1:33" ht="15.75" customHeight="1" x14ac:dyDescent="0.2">
      <c r="A42" s="48" t="s">
        <v>60</v>
      </c>
      <c r="B42" s="1"/>
      <c r="C42" s="1"/>
      <c r="D42" s="48">
        <f>-3800-2116.69</f>
        <v>-5916.6900000000005</v>
      </c>
      <c r="E42" s="31">
        <v>-3800</v>
      </c>
      <c r="F42" s="48">
        <v>-3800</v>
      </c>
      <c r="G42" s="31">
        <v>-3800</v>
      </c>
      <c r="H42" s="48">
        <f>-3800-6080</f>
        <v>-9880</v>
      </c>
      <c r="I42" s="31">
        <v>-3800</v>
      </c>
      <c r="J42" s="48">
        <v>-3800</v>
      </c>
      <c r="K42" s="31">
        <v>-3800</v>
      </c>
      <c r="L42" s="48">
        <v>-3800</v>
      </c>
      <c r="M42" s="31">
        <v>-3800</v>
      </c>
      <c r="N42" s="48">
        <f>-3800-4700</f>
        <v>-8500</v>
      </c>
      <c r="O42" s="31">
        <v>-3800</v>
      </c>
      <c r="P42" s="48">
        <v>-3800</v>
      </c>
      <c r="Q42" s="31">
        <v>-3800</v>
      </c>
      <c r="R42" s="48">
        <v>-3800</v>
      </c>
      <c r="S42" s="31">
        <v>-3800</v>
      </c>
      <c r="T42" s="48">
        <v>-7400</v>
      </c>
      <c r="U42" s="31">
        <v>-7400</v>
      </c>
      <c r="V42" s="48">
        <f>-3800</f>
        <v>-3800</v>
      </c>
      <c r="W42" s="31">
        <v>-3800</v>
      </c>
      <c r="X42" s="48">
        <f>-3800</f>
        <v>-3800</v>
      </c>
      <c r="Y42" s="31">
        <v>-3800</v>
      </c>
      <c r="Z42" s="48">
        <f>-3800-4400</f>
        <v>-8200</v>
      </c>
      <c r="AA42" s="31">
        <v>-8200</v>
      </c>
      <c r="AB42" s="1"/>
      <c r="AC42" s="1"/>
      <c r="AE42" s="1"/>
      <c r="AF42" s="1"/>
      <c r="AG42" s="1"/>
    </row>
    <row r="43" spans="1:33" ht="15.75" customHeight="1" x14ac:dyDescent="0.2">
      <c r="A43" s="49" t="s">
        <v>61</v>
      </c>
      <c r="B43" s="50">
        <v>9903.2999999999993</v>
      </c>
      <c r="C43" s="50"/>
      <c r="D43" s="49">
        <f>+B41+B43+D41+D40+D42</f>
        <v>11195.33</v>
      </c>
      <c r="E43" s="37">
        <f>+E41+E42</f>
        <v>853.76000000000022</v>
      </c>
      <c r="F43" s="49">
        <f>+D43+F41+F40+F42</f>
        <v>15880.61</v>
      </c>
      <c r="G43" s="37">
        <f>+G41+G42</f>
        <v>1171.08</v>
      </c>
      <c r="H43" s="49">
        <f>+F43+H41+H40+H42</f>
        <v>20596.22</v>
      </c>
      <c r="I43" s="37">
        <f>+I41+I42</f>
        <v>4757.6399999999976</v>
      </c>
      <c r="J43" s="49">
        <f>+H43+J41+J40+J42</f>
        <v>20779.32</v>
      </c>
      <c r="K43" s="71">
        <f>+K41+K42</f>
        <v>-1591</v>
      </c>
      <c r="L43" s="49">
        <f>+J43+L41+L40+L42</f>
        <v>17426.560000000001</v>
      </c>
      <c r="M43" s="37">
        <f>+M41+M42</f>
        <v>107.27999999999975</v>
      </c>
      <c r="N43" s="49">
        <f>+L43+N41+N40+N42</f>
        <v>18502.14</v>
      </c>
      <c r="O43" s="37">
        <f>+O41+O42</f>
        <v>4171.3599999999997</v>
      </c>
      <c r="P43" s="49">
        <f>+N43+P41+P40+P42</f>
        <v>27903.3</v>
      </c>
      <c r="Q43" s="37">
        <f>+Q41+Q42</f>
        <v>4739.0399999999991</v>
      </c>
      <c r="R43" s="72">
        <f>+P43+R41+R40+R42</f>
        <v>34596.020000000004</v>
      </c>
      <c r="S43" s="37">
        <f>+S41+S42</f>
        <v>3067.0600000000013</v>
      </c>
      <c r="T43" s="49">
        <f>+R43+T41+T40+T42</f>
        <v>41854.380000000005</v>
      </c>
      <c r="U43" s="37">
        <f>+U41+U42</f>
        <v>1427.880000000001</v>
      </c>
      <c r="V43" s="49">
        <f>+T43+V41+V40+V42</f>
        <v>44421.020000000004</v>
      </c>
      <c r="W43" s="37">
        <f>+W41+W42</f>
        <v>1871.4799999999987</v>
      </c>
      <c r="X43" s="49">
        <f>+V43+X41+X40+X42-11782.54</f>
        <v>30712.840000000004</v>
      </c>
      <c r="Y43" s="37">
        <f>+Y41+Y42</f>
        <v>3369.2000000000007</v>
      </c>
      <c r="Z43" s="49">
        <f>+X43+Z41+Z40+Z42</f>
        <v>41940.820000000007</v>
      </c>
      <c r="AA43" s="37">
        <f>+AA41+AA42</f>
        <v>4020.0399999999991</v>
      </c>
      <c r="AB43" s="1"/>
      <c r="AC43" s="1">
        <f>+E43+G43+I43+K43+M43+O43+Q43+S43+U43+W43+Y43+AA43</f>
        <v>27964.82</v>
      </c>
      <c r="AE43" s="1"/>
      <c r="AF43" s="1"/>
      <c r="AG43" s="1"/>
    </row>
    <row r="44" spans="1:33" ht="15.75" customHeight="1" x14ac:dyDescent="0.2">
      <c r="B44" s="6"/>
      <c r="D44" s="54" t="s">
        <v>62</v>
      </c>
      <c r="E44" s="32"/>
      <c r="F44" s="30"/>
      <c r="G44" s="32"/>
      <c r="H44" s="54" t="s">
        <v>63</v>
      </c>
      <c r="I44" s="32"/>
      <c r="J44" s="30"/>
      <c r="K44" s="32"/>
      <c r="L44" s="54" t="s">
        <v>64</v>
      </c>
      <c r="M44" s="19"/>
      <c r="N44" s="54" t="s">
        <v>65</v>
      </c>
      <c r="O44" s="19"/>
      <c r="P44" s="30"/>
      <c r="Q44" s="19"/>
      <c r="R44" s="30"/>
      <c r="S44" s="19"/>
      <c r="T44" s="30" t="s">
        <v>66</v>
      </c>
      <c r="U44" s="19"/>
      <c r="V44" s="30" t="s">
        <v>67</v>
      </c>
      <c r="W44" s="19"/>
      <c r="X44" s="30" t="s">
        <v>68</v>
      </c>
      <c r="Y44" s="19"/>
      <c r="Z44" s="30" t="s">
        <v>69</v>
      </c>
      <c r="AA44" s="19"/>
      <c r="AE44" s="1"/>
      <c r="AF44" s="1"/>
      <c r="AG44" s="1"/>
    </row>
    <row r="45" spans="1:33" ht="15.75" customHeight="1" x14ac:dyDescent="0.2">
      <c r="B45" s="6"/>
      <c r="D45" s="30"/>
      <c r="E45" s="32"/>
      <c r="F45" s="30"/>
      <c r="G45" s="32"/>
      <c r="H45" s="30"/>
      <c r="I45" s="32"/>
      <c r="J45" s="30"/>
      <c r="K45" s="32"/>
      <c r="L45" s="54" t="s">
        <v>70</v>
      </c>
      <c r="M45" s="19"/>
      <c r="N45" s="54" t="s">
        <v>71</v>
      </c>
      <c r="O45" s="19"/>
      <c r="P45" s="30"/>
      <c r="Q45" s="19"/>
      <c r="R45" s="30"/>
      <c r="S45" s="19"/>
      <c r="T45" s="30"/>
      <c r="U45" s="19"/>
      <c r="V45" s="73" t="s">
        <v>72</v>
      </c>
      <c r="W45" s="19"/>
      <c r="X45" s="30" t="s">
        <v>73</v>
      </c>
      <c r="Y45" s="19"/>
      <c r="Z45" s="30" t="s">
        <v>74</v>
      </c>
      <c r="AA45" s="19"/>
      <c r="AE45" s="1"/>
      <c r="AF45" s="1"/>
      <c r="AG45" s="1"/>
    </row>
    <row r="46" spans="1:33" ht="15.75" customHeight="1" x14ac:dyDescent="0.2">
      <c r="A46" s="1" t="s">
        <v>75</v>
      </c>
      <c r="B46" s="6"/>
      <c r="D46" s="49">
        <v>0</v>
      </c>
      <c r="E46" s="37"/>
      <c r="F46" s="49">
        <v>0</v>
      </c>
      <c r="G46" s="37"/>
      <c r="H46" s="49">
        <v>0</v>
      </c>
      <c r="I46" s="37"/>
      <c r="J46" s="49">
        <v>0</v>
      </c>
      <c r="K46" s="37"/>
      <c r="L46" s="49">
        <v>0</v>
      </c>
      <c r="M46" s="37"/>
      <c r="N46" s="49">
        <v>0</v>
      </c>
      <c r="O46" s="37"/>
      <c r="P46" s="49">
        <v>0</v>
      </c>
      <c r="Q46" s="37"/>
      <c r="R46" s="49">
        <v>0</v>
      </c>
      <c r="S46" s="37"/>
      <c r="T46" s="49">
        <v>0</v>
      </c>
      <c r="U46" s="37"/>
      <c r="V46" s="49">
        <v>0</v>
      </c>
      <c r="W46" s="37"/>
      <c r="X46" s="49">
        <v>0</v>
      </c>
      <c r="Y46" s="37"/>
      <c r="Z46" s="49">
        <v>0</v>
      </c>
      <c r="AA46" s="37"/>
      <c r="AB46" s="1"/>
      <c r="AE46" s="1"/>
      <c r="AF46" s="1"/>
      <c r="AG46" s="1"/>
    </row>
    <row r="47" spans="1:33" ht="15.75" customHeight="1" x14ac:dyDescent="0.2">
      <c r="B47" s="6"/>
      <c r="E47" s="3"/>
      <c r="G47" s="3"/>
      <c r="I47" s="3"/>
      <c r="K47" s="3"/>
      <c r="AE47" s="1"/>
      <c r="AF47" s="1"/>
      <c r="AG47" s="1"/>
    </row>
    <row r="48" spans="1:33" ht="15.75" customHeight="1" x14ac:dyDescent="0.2">
      <c r="B48" s="6"/>
      <c r="E48" s="3"/>
      <c r="G48" s="3"/>
      <c r="H48" s="4" t="s">
        <v>76</v>
      </c>
      <c r="I48" s="3"/>
      <c r="K48" s="3"/>
      <c r="T48" s="4" t="s">
        <v>77</v>
      </c>
      <c r="AE48" s="1"/>
      <c r="AF48" s="1"/>
      <c r="AG48" s="1"/>
    </row>
    <row r="49" spans="2:33" ht="15.75" customHeight="1" x14ac:dyDescent="0.2">
      <c r="B49" s="6"/>
      <c r="E49" s="3"/>
      <c r="G49" s="3"/>
      <c r="I49" s="3"/>
      <c r="K49" s="3"/>
      <c r="L49" s="1"/>
      <c r="O49" s="1"/>
      <c r="T49" s="4" t="s">
        <v>78</v>
      </c>
      <c r="AE49" s="1"/>
      <c r="AF49" s="1"/>
      <c r="AG49" s="1"/>
    </row>
    <row r="50" spans="2:33" ht="15.75" customHeight="1" x14ac:dyDescent="0.2">
      <c r="B50" s="6"/>
      <c r="E50" s="3"/>
      <c r="G50" s="3"/>
      <c r="I50" s="3"/>
      <c r="K50" s="3"/>
      <c r="L50" s="1"/>
      <c r="O50" s="1"/>
      <c r="AE50" s="1"/>
      <c r="AF50" s="1"/>
      <c r="AG50" s="1"/>
    </row>
    <row r="51" spans="2:33" ht="15.75" customHeight="1" x14ac:dyDescent="0.2">
      <c r="B51" s="6"/>
      <c r="E51" s="3"/>
      <c r="G51" s="3"/>
      <c r="I51" s="3"/>
      <c r="K51" s="3"/>
      <c r="L51" s="1"/>
      <c r="O51" s="1"/>
      <c r="AE51" s="1"/>
      <c r="AF51" s="1"/>
      <c r="AG51" s="1"/>
    </row>
    <row r="52" spans="2:33" ht="15.75" customHeight="1" x14ac:dyDescent="0.2">
      <c r="B52" s="6"/>
      <c r="E52" s="3"/>
      <c r="G52" s="3"/>
      <c r="I52" s="3"/>
      <c r="K52" s="3"/>
      <c r="L52" s="1"/>
      <c r="O52" s="1"/>
      <c r="AE52" s="1"/>
      <c r="AF52" s="1"/>
      <c r="AG52" s="1"/>
    </row>
    <row r="53" spans="2:33" ht="15.75" customHeight="1" x14ac:dyDescent="0.2">
      <c r="B53" s="6"/>
      <c r="E53" s="3"/>
      <c r="G53" s="3" t="s">
        <v>79</v>
      </c>
      <c r="H53" s="4">
        <v>6960</v>
      </c>
      <c r="I53" s="6">
        <v>0.8</v>
      </c>
      <c r="J53" s="1">
        <f t="shared" ref="J53:J58" si="21">+H53*I53</f>
        <v>5568</v>
      </c>
      <c r="K53" s="3"/>
      <c r="T53" s="4" t="s">
        <v>79</v>
      </c>
      <c r="U53" s="4">
        <v>7200</v>
      </c>
      <c r="V53" s="1">
        <v>0.8</v>
      </c>
      <c r="W53" s="1">
        <f t="shared" ref="W53:W58" si="22">+U53*V53</f>
        <v>5760</v>
      </c>
      <c r="AE53" s="1"/>
      <c r="AF53" s="1"/>
      <c r="AG53" s="1"/>
    </row>
    <row r="54" spans="2:33" ht="15.75" customHeight="1" x14ac:dyDescent="0.2">
      <c r="B54" s="6"/>
      <c r="E54" s="3"/>
      <c r="G54" s="3" t="s">
        <v>80</v>
      </c>
      <c r="H54" s="4">
        <v>2520</v>
      </c>
      <c r="I54" s="6">
        <v>0.57899999999999996</v>
      </c>
      <c r="J54" s="1">
        <f t="shared" si="21"/>
        <v>1459.08</v>
      </c>
      <c r="K54" s="3"/>
      <c r="L54" s="1"/>
      <c r="O54" s="1"/>
      <c r="T54" s="4" t="s">
        <v>80</v>
      </c>
      <c r="U54" s="4">
        <v>0</v>
      </c>
      <c r="V54" s="1">
        <v>0.57899999999999996</v>
      </c>
      <c r="W54" s="1">
        <f t="shared" si="22"/>
        <v>0</v>
      </c>
      <c r="AE54" s="1"/>
      <c r="AF54" s="1"/>
      <c r="AG54" s="1"/>
    </row>
    <row r="55" spans="2:33" ht="15.75" customHeight="1" x14ac:dyDescent="0.2">
      <c r="B55" s="6"/>
      <c r="E55" s="3"/>
      <c r="G55" s="3" t="s">
        <v>81</v>
      </c>
      <c r="H55" s="4">
        <v>2520</v>
      </c>
      <c r="I55" s="6">
        <v>0.46700000000000003</v>
      </c>
      <c r="J55" s="1">
        <f t="shared" si="21"/>
        <v>1176.8400000000001</v>
      </c>
      <c r="K55" s="3"/>
      <c r="T55" s="4" t="s">
        <v>81</v>
      </c>
      <c r="U55" s="4">
        <v>4320</v>
      </c>
      <c r="V55" s="1">
        <v>0.46700000000000003</v>
      </c>
      <c r="W55" s="1">
        <f t="shared" si="22"/>
        <v>2017.44</v>
      </c>
      <c r="AE55" s="1"/>
      <c r="AF55" s="1"/>
      <c r="AG55" s="1"/>
    </row>
    <row r="56" spans="2:33" ht="15.75" customHeight="1" x14ac:dyDescent="0.2">
      <c r="B56" s="6"/>
      <c r="E56" s="3"/>
      <c r="G56" s="3" t="s">
        <v>82</v>
      </c>
      <c r="H56" s="4">
        <v>3600</v>
      </c>
      <c r="I56" s="6">
        <v>0.71</v>
      </c>
      <c r="J56" s="1">
        <f t="shared" si="21"/>
        <v>2556</v>
      </c>
      <c r="K56" s="3"/>
      <c r="T56" s="4" t="s">
        <v>82</v>
      </c>
      <c r="U56" s="4">
        <v>3600</v>
      </c>
      <c r="V56" s="1">
        <v>0.71699999999999997</v>
      </c>
      <c r="W56" s="1">
        <f t="shared" si="22"/>
        <v>2581.1999999999998</v>
      </c>
      <c r="AE56" s="1"/>
      <c r="AF56" s="1"/>
      <c r="AG56" s="1"/>
    </row>
    <row r="57" spans="2:33" ht="15.75" customHeight="1" x14ac:dyDescent="0.2">
      <c r="G57" s="4" t="s">
        <v>83</v>
      </c>
      <c r="H57" s="4">
        <v>2880</v>
      </c>
      <c r="I57" s="6">
        <v>0.57999999999999996</v>
      </c>
      <c r="J57" s="1">
        <f t="shared" si="21"/>
        <v>1670.3999999999999</v>
      </c>
      <c r="T57" s="4" t="s">
        <v>83</v>
      </c>
      <c r="U57" s="4">
        <v>1440</v>
      </c>
      <c r="V57" s="1">
        <v>0.48899999999999999</v>
      </c>
      <c r="W57" s="1">
        <f t="shared" si="22"/>
        <v>704.16</v>
      </c>
      <c r="AE57" s="1"/>
      <c r="AF57" s="1"/>
      <c r="AG57" s="1"/>
    </row>
    <row r="58" spans="2:33" ht="15.75" customHeight="1" x14ac:dyDescent="0.2">
      <c r="G58" s="4" t="s">
        <v>84</v>
      </c>
      <c r="H58" s="4">
        <v>360</v>
      </c>
      <c r="I58" s="6">
        <v>0.46</v>
      </c>
      <c r="J58" s="1">
        <f t="shared" si="21"/>
        <v>165.6</v>
      </c>
      <c r="T58" s="4" t="s">
        <v>84</v>
      </c>
      <c r="U58" s="4">
        <v>0</v>
      </c>
      <c r="V58" s="1">
        <v>0.46</v>
      </c>
      <c r="W58" s="1">
        <f t="shared" si="22"/>
        <v>0</v>
      </c>
      <c r="AE58" s="1"/>
      <c r="AF58" s="1"/>
      <c r="AG58" s="1"/>
    </row>
    <row r="59" spans="2:33" ht="15.75" customHeight="1" x14ac:dyDescent="0.2">
      <c r="I59" s="1"/>
      <c r="J59" s="1"/>
      <c r="AE59" s="1"/>
      <c r="AF59" s="1"/>
      <c r="AG59" s="1"/>
    </row>
    <row r="60" spans="2:33" ht="15.75" customHeight="1" x14ac:dyDescent="0.2">
      <c r="H60" s="4">
        <f>SUM(H53:H58)</f>
        <v>18840</v>
      </c>
      <c r="I60" s="1" t="s">
        <v>85</v>
      </c>
      <c r="J60" s="1">
        <f>SUM(J53:J58)</f>
        <v>12595.92</v>
      </c>
      <c r="V60" s="4" t="s">
        <v>85</v>
      </c>
      <c r="W60" s="1">
        <f>SUM(W53:W58)</f>
        <v>11062.8</v>
      </c>
      <c r="AE60" s="1"/>
      <c r="AF60" s="1"/>
      <c r="AG60" s="1"/>
    </row>
    <row r="61" spans="2:33" ht="15.75" customHeight="1" x14ac:dyDescent="0.2">
      <c r="I61" s="4" t="s">
        <v>86</v>
      </c>
      <c r="K61" s="4">
        <v>3778.7759999999998</v>
      </c>
      <c r="V61" s="4" t="s">
        <v>86</v>
      </c>
      <c r="W61" s="1"/>
      <c r="X61" s="4">
        <v>4062.8</v>
      </c>
      <c r="AE61" s="1"/>
      <c r="AF61" s="1"/>
      <c r="AG61" s="1"/>
    </row>
    <row r="62" spans="2:33" ht="15.75" customHeight="1" x14ac:dyDescent="0.2">
      <c r="I62" s="4" t="s">
        <v>42</v>
      </c>
      <c r="J62" s="1"/>
      <c r="K62" s="4">
        <v>8817.14</v>
      </c>
      <c r="V62" s="4" t="s">
        <v>42</v>
      </c>
      <c r="W62" s="1"/>
      <c r="X62" s="4">
        <v>7000</v>
      </c>
      <c r="AE62" s="1"/>
      <c r="AF62" s="1"/>
      <c r="AG62" s="1"/>
    </row>
    <row r="63" spans="2:33" ht="15.75" customHeight="1" x14ac:dyDescent="0.2">
      <c r="I63" s="1" t="s">
        <v>87</v>
      </c>
      <c r="J63" s="4">
        <v>1921.19</v>
      </c>
      <c r="K63" s="4">
        <v>0.1</v>
      </c>
      <c r="V63" s="4" t="s">
        <v>88</v>
      </c>
      <c r="W63" s="1">
        <v>2500</v>
      </c>
      <c r="AE63" s="1"/>
      <c r="AF63" s="1"/>
      <c r="AG63" s="1"/>
    </row>
    <row r="64" spans="2:33" ht="15.75" customHeight="1" x14ac:dyDescent="0.2">
      <c r="I64" s="1" t="s">
        <v>85</v>
      </c>
      <c r="J64" s="1">
        <f>SUM(J60:J63)</f>
        <v>14517.11</v>
      </c>
      <c r="K64" s="4">
        <v>0.77</v>
      </c>
      <c r="V64" s="4" t="s">
        <v>85</v>
      </c>
      <c r="W64" s="1">
        <f>SUM(W60:W63)</f>
        <v>13562.8</v>
      </c>
      <c r="AE64" s="1"/>
      <c r="AF64" s="1"/>
      <c r="AG64" s="1"/>
    </row>
    <row r="65" spans="9:33" ht="15.75" customHeight="1" x14ac:dyDescent="0.2">
      <c r="I65" s="1"/>
      <c r="W65" s="1"/>
      <c r="AE65" s="1"/>
      <c r="AF65" s="1"/>
      <c r="AG65" s="1"/>
    </row>
    <row r="66" spans="9:33" ht="15.75" customHeight="1" x14ac:dyDescent="0.2">
      <c r="W66" s="1"/>
      <c r="AE66" s="1"/>
      <c r="AF66" s="1"/>
      <c r="AG66" s="1"/>
    </row>
    <row r="67" spans="9:33" ht="15.75" customHeight="1" x14ac:dyDescent="0.2">
      <c r="AE67" s="1"/>
      <c r="AF67" s="1"/>
      <c r="AG67" s="1"/>
    </row>
    <row r="68" spans="9:33" ht="15.75" customHeight="1" x14ac:dyDescent="0.2">
      <c r="AE68" s="1"/>
      <c r="AF68" s="1"/>
      <c r="AG68" s="1"/>
    </row>
    <row r="69" spans="9:33" ht="15.75" customHeight="1" x14ac:dyDescent="0.2">
      <c r="AE69" s="1"/>
      <c r="AF69" s="1"/>
      <c r="AG69" s="1"/>
    </row>
    <row r="70" spans="9:33" ht="15.75" customHeight="1" x14ac:dyDescent="0.2">
      <c r="AE70" s="1"/>
      <c r="AF70" s="1"/>
      <c r="AG70" s="1"/>
    </row>
    <row r="71" spans="9:33" ht="15.75" customHeight="1" x14ac:dyDescent="0.2">
      <c r="AE71" s="1"/>
      <c r="AF71" s="1"/>
      <c r="AG71" s="1"/>
    </row>
    <row r="72" spans="9:33" ht="15.75" customHeight="1" x14ac:dyDescent="0.2">
      <c r="AE72" s="1"/>
      <c r="AF72" s="1"/>
      <c r="AG72" s="1"/>
    </row>
    <row r="73" spans="9:33" ht="15.75" customHeight="1" x14ac:dyDescent="0.2">
      <c r="AE73" s="1"/>
      <c r="AF73" s="1"/>
      <c r="AG73" s="1"/>
    </row>
    <row r="74" spans="9:33" ht="15.75" customHeight="1" x14ac:dyDescent="0.2">
      <c r="AE74" s="1"/>
      <c r="AF74" s="1"/>
      <c r="AG74" s="1"/>
    </row>
    <row r="75" spans="9:33" ht="15.75" customHeight="1" x14ac:dyDescent="0.2">
      <c r="AE75" s="1"/>
      <c r="AF75" s="1"/>
      <c r="AG75" s="1"/>
    </row>
    <row r="76" spans="9:33" ht="15.75" customHeight="1" x14ac:dyDescent="0.2">
      <c r="AE76" s="1"/>
      <c r="AF76" s="1"/>
      <c r="AG76" s="1"/>
    </row>
    <row r="77" spans="9:33" ht="15.75" customHeight="1" x14ac:dyDescent="0.2">
      <c r="AE77" s="1"/>
      <c r="AF77" s="1"/>
      <c r="AG77" s="1"/>
    </row>
    <row r="78" spans="9:33" ht="15.75" customHeight="1" x14ac:dyDescent="0.2">
      <c r="AE78" s="1"/>
      <c r="AF78" s="1"/>
      <c r="AG78" s="1"/>
    </row>
    <row r="79" spans="9:33" ht="15.75" customHeight="1" x14ac:dyDescent="0.2">
      <c r="AE79" s="1"/>
      <c r="AF79" s="1"/>
      <c r="AG79" s="1"/>
    </row>
    <row r="80" spans="9:33" ht="15.75" customHeight="1" x14ac:dyDescent="0.2">
      <c r="AE80" s="1"/>
      <c r="AF80" s="1"/>
      <c r="AG80" s="1"/>
    </row>
    <row r="81" spans="31:33" ht="15.75" customHeight="1" x14ac:dyDescent="0.2">
      <c r="AE81" s="1"/>
      <c r="AF81" s="1"/>
      <c r="AG81" s="1"/>
    </row>
    <row r="82" spans="31:33" ht="15.75" customHeight="1" x14ac:dyDescent="0.2">
      <c r="AE82" s="1"/>
      <c r="AF82" s="1"/>
      <c r="AG82" s="1"/>
    </row>
    <row r="83" spans="31:33" ht="15.75" customHeight="1" x14ac:dyDescent="0.2">
      <c r="AE83" s="1"/>
      <c r="AF83" s="1"/>
      <c r="AG83" s="1"/>
    </row>
    <row r="84" spans="31:33" ht="15.75" customHeight="1" x14ac:dyDescent="0.2">
      <c r="AE84" s="1"/>
      <c r="AF84" s="1"/>
      <c r="AG84" s="1"/>
    </row>
    <row r="85" spans="31:33" ht="15.75" customHeight="1" x14ac:dyDescent="0.2">
      <c r="AE85" s="1"/>
      <c r="AF85" s="1"/>
      <c r="AG85" s="1"/>
    </row>
    <row r="86" spans="31:33" ht="15.75" customHeight="1" x14ac:dyDescent="0.2">
      <c r="AE86" s="1"/>
      <c r="AF86" s="1"/>
      <c r="AG86" s="1"/>
    </row>
    <row r="87" spans="31:33" ht="15.75" customHeight="1" x14ac:dyDescent="0.2">
      <c r="AE87" s="1"/>
      <c r="AF87" s="1"/>
      <c r="AG87" s="1"/>
    </row>
    <row r="88" spans="31:33" ht="15.75" customHeight="1" x14ac:dyDescent="0.2">
      <c r="AE88" s="1"/>
      <c r="AF88" s="1"/>
      <c r="AG88" s="1"/>
    </row>
    <row r="89" spans="31:33" ht="15.75" customHeight="1" x14ac:dyDescent="0.2">
      <c r="AE89" s="1"/>
      <c r="AF89" s="1"/>
      <c r="AG89" s="1"/>
    </row>
    <row r="90" spans="31:33" ht="15.75" customHeight="1" x14ac:dyDescent="0.2">
      <c r="AE90" s="1"/>
      <c r="AF90" s="1"/>
      <c r="AG90" s="1"/>
    </row>
    <row r="91" spans="31:33" ht="15.75" customHeight="1" x14ac:dyDescent="0.2">
      <c r="AE91" s="1"/>
      <c r="AF91" s="1"/>
      <c r="AG91" s="1"/>
    </row>
    <row r="92" spans="31:33" ht="15.75" customHeight="1" x14ac:dyDescent="0.2">
      <c r="AE92" s="1"/>
      <c r="AF92" s="1"/>
      <c r="AG92" s="1"/>
    </row>
    <row r="93" spans="31:33" ht="15.75" customHeight="1" x14ac:dyDescent="0.2">
      <c r="AE93" s="1"/>
      <c r="AF93" s="1"/>
      <c r="AG93" s="1"/>
    </row>
    <row r="94" spans="31:33" ht="15.75" customHeight="1" x14ac:dyDescent="0.2">
      <c r="AE94" s="1"/>
      <c r="AF94" s="1"/>
      <c r="AG94" s="1"/>
    </row>
    <row r="95" spans="31:33" ht="15.75" customHeight="1" x14ac:dyDescent="0.2">
      <c r="AE95" s="1"/>
      <c r="AF95" s="1"/>
      <c r="AG95" s="1"/>
    </row>
    <row r="96" spans="31:33" ht="15.75" customHeight="1" x14ac:dyDescent="0.2">
      <c r="AE96" s="1"/>
      <c r="AF96" s="1"/>
      <c r="AG96" s="1"/>
    </row>
    <row r="97" spans="31:33" ht="15.75" customHeight="1" x14ac:dyDescent="0.2">
      <c r="AE97" s="1"/>
      <c r="AF97" s="1"/>
      <c r="AG97" s="1"/>
    </row>
    <row r="98" spans="31:33" ht="15.75" customHeight="1" x14ac:dyDescent="0.2">
      <c r="AE98" s="1"/>
      <c r="AF98" s="1"/>
      <c r="AG98" s="1"/>
    </row>
    <row r="99" spans="31:33" ht="15.75" customHeight="1" x14ac:dyDescent="0.2">
      <c r="AE99" s="1"/>
      <c r="AF99" s="1"/>
      <c r="AG99" s="1"/>
    </row>
    <row r="100" spans="31:33" ht="15.75" customHeight="1" x14ac:dyDescent="0.2">
      <c r="AE100" s="1"/>
      <c r="AF100" s="1"/>
      <c r="AG100" s="1"/>
    </row>
    <row r="101" spans="31:33" ht="15.75" customHeight="1" x14ac:dyDescent="0.2">
      <c r="AE101" s="1"/>
      <c r="AF101" s="1"/>
      <c r="AG101" s="1"/>
    </row>
    <row r="102" spans="31:33" ht="15.75" customHeight="1" x14ac:dyDescent="0.2">
      <c r="AE102" s="1"/>
      <c r="AF102" s="1"/>
      <c r="AG102" s="1"/>
    </row>
    <row r="103" spans="31:33" ht="15.75" customHeight="1" x14ac:dyDescent="0.2">
      <c r="AE103" s="1"/>
      <c r="AF103" s="1"/>
      <c r="AG103" s="1"/>
    </row>
    <row r="104" spans="31:33" ht="15.75" customHeight="1" x14ac:dyDescent="0.2">
      <c r="AE104" s="1"/>
      <c r="AF104" s="1"/>
      <c r="AG104" s="1"/>
    </row>
    <row r="105" spans="31:33" ht="15.75" customHeight="1" x14ac:dyDescent="0.2">
      <c r="AE105" s="1"/>
      <c r="AF105" s="1"/>
      <c r="AG105" s="1"/>
    </row>
    <row r="106" spans="31:33" ht="15.75" customHeight="1" x14ac:dyDescent="0.2">
      <c r="AE106" s="1"/>
      <c r="AF106" s="1"/>
      <c r="AG106" s="1"/>
    </row>
    <row r="107" spans="31:33" ht="15.75" customHeight="1" x14ac:dyDescent="0.2">
      <c r="AE107" s="1"/>
      <c r="AF107" s="1"/>
      <c r="AG107" s="1"/>
    </row>
    <row r="108" spans="31:33" ht="15.75" customHeight="1" x14ac:dyDescent="0.2">
      <c r="AE108" s="1"/>
      <c r="AF108" s="1"/>
      <c r="AG108" s="1"/>
    </row>
    <row r="109" spans="31:33" ht="15.75" customHeight="1" x14ac:dyDescent="0.2">
      <c r="AE109" s="1"/>
      <c r="AF109" s="1"/>
      <c r="AG109" s="1"/>
    </row>
    <row r="110" spans="31:33" ht="15.75" customHeight="1" x14ac:dyDescent="0.2">
      <c r="AE110" s="1"/>
      <c r="AF110" s="1"/>
      <c r="AG110" s="1"/>
    </row>
    <row r="111" spans="31:33" ht="15.75" customHeight="1" x14ac:dyDescent="0.2">
      <c r="AE111" s="1"/>
      <c r="AF111" s="1"/>
      <c r="AG111" s="1"/>
    </row>
    <row r="112" spans="31:33" ht="15.75" customHeight="1" x14ac:dyDescent="0.2">
      <c r="AE112" s="1"/>
      <c r="AF112" s="1"/>
      <c r="AG112" s="1"/>
    </row>
    <row r="113" spans="31:33" ht="15.75" customHeight="1" x14ac:dyDescent="0.2">
      <c r="AE113" s="1"/>
      <c r="AF113" s="1"/>
      <c r="AG113" s="1"/>
    </row>
    <row r="114" spans="31:33" ht="15.75" customHeight="1" x14ac:dyDescent="0.2">
      <c r="AE114" s="1"/>
      <c r="AF114" s="1"/>
      <c r="AG114" s="1"/>
    </row>
    <row r="115" spans="31:33" ht="15.75" customHeight="1" x14ac:dyDescent="0.2">
      <c r="AE115" s="1"/>
      <c r="AF115" s="1"/>
      <c r="AG115" s="1"/>
    </row>
    <row r="116" spans="31:33" ht="15.75" customHeight="1" x14ac:dyDescent="0.2">
      <c r="AE116" s="1"/>
      <c r="AF116" s="1"/>
      <c r="AG116" s="1"/>
    </row>
    <row r="117" spans="31:33" ht="15.75" customHeight="1" x14ac:dyDescent="0.2">
      <c r="AE117" s="1"/>
      <c r="AF117" s="1"/>
      <c r="AG117" s="1"/>
    </row>
    <row r="118" spans="31:33" ht="15.75" customHeight="1" x14ac:dyDescent="0.2">
      <c r="AE118" s="1"/>
      <c r="AF118" s="1"/>
      <c r="AG118" s="1"/>
    </row>
    <row r="119" spans="31:33" ht="15.75" customHeight="1" x14ac:dyDescent="0.2">
      <c r="AE119" s="1"/>
      <c r="AF119" s="1"/>
      <c r="AG119" s="1"/>
    </row>
    <row r="120" spans="31:33" ht="15.75" customHeight="1" x14ac:dyDescent="0.2">
      <c r="AE120" s="1"/>
      <c r="AF120" s="1"/>
      <c r="AG120" s="1"/>
    </row>
    <row r="121" spans="31:33" ht="15.75" customHeight="1" x14ac:dyDescent="0.2">
      <c r="AE121" s="1"/>
      <c r="AF121" s="1"/>
      <c r="AG121" s="1"/>
    </row>
    <row r="122" spans="31:33" ht="15.75" customHeight="1" x14ac:dyDescent="0.2">
      <c r="AE122" s="1"/>
      <c r="AF122" s="1"/>
      <c r="AG122" s="1"/>
    </row>
    <row r="123" spans="31:33" ht="15.75" customHeight="1" x14ac:dyDescent="0.2">
      <c r="AE123" s="1"/>
      <c r="AF123" s="1"/>
      <c r="AG123" s="1"/>
    </row>
    <row r="124" spans="31:33" ht="15.75" customHeight="1" x14ac:dyDescent="0.2">
      <c r="AE124" s="1"/>
      <c r="AF124" s="1"/>
      <c r="AG124" s="1"/>
    </row>
    <row r="125" spans="31:33" ht="15.75" customHeight="1" x14ac:dyDescent="0.2">
      <c r="AE125" s="1"/>
      <c r="AF125" s="1"/>
      <c r="AG125" s="1"/>
    </row>
    <row r="126" spans="31:33" ht="15.75" customHeight="1" x14ac:dyDescent="0.2">
      <c r="AE126" s="1"/>
      <c r="AF126" s="1"/>
      <c r="AG126" s="1"/>
    </row>
    <row r="127" spans="31:33" ht="15.75" customHeight="1" x14ac:dyDescent="0.2">
      <c r="AE127" s="1"/>
      <c r="AF127" s="1"/>
      <c r="AG127" s="1"/>
    </row>
    <row r="128" spans="31:33" ht="15.75" customHeight="1" x14ac:dyDescent="0.2">
      <c r="AE128" s="1"/>
      <c r="AF128" s="1"/>
      <c r="AG128" s="1"/>
    </row>
    <row r="129" spans="31:33" ht="15.75" customHeight="1" x14ac:dyDescent="0.2">
      <c r="AE129" s="1"/>
      <c r="AF129" s="1"/>
      <c r="AG129" s="1"/>
    </row>
    <row r="130" spans="31:33" ht="15.75" customHeight="1" x14ac:dyDescent="0.2">
      <c r="AE130" s="1"/>
      <c r="AF130" s="1"/>
      <c r="AG130" s="1"/>
    </row>
    <row r="131" spans="31:33" ht="15.75" customHeight="1" x14ac:dyDescent="0.2">
      <c r="AE131" s="1"/>
      <c r="AF131" s="1"/>
      <c r="AG131" s="1"/>
    </row>
    <row r="132" spans="31:33" ht="15.75" customHeight="1" x14ac:dyDescent="0.2">
      <c r="AE132" s="1"/>
      <c r="AF132" s="1"/>
      <c r="AG132" s="1"/>
    </row>
    <row r="133" spans="31:33" ht="15.75" customHeight="1" x14ac:dyDescent="0.2">
      <c r="AE133" s="1"/>
      <c r="AF133" s="1"/>
      <c r="AG133" s="1"/>
    </row>
    <row r="134" spans="31:33" ht="15.75" customHeight="1" x14ac:dyDescent="0.2">
      <c r="AE134" s="1"/>
      <c r="AF134" s="1"/>
      <c r="AG134" s="1"/>
    </row>
    <row r="135" spans="31:33" ht="15.75" customHeight="1" x14ac:dyDescent="0.2">
      <c r="AE135" s="1"/>
      <c r="AF135" s="1"/>
      <c r="AG135" s="1"/>
    </row>
    <row r="136" spans="31:33" ht="15.75" customHeight="1" x14ac:dyDescent="0.2">
      <c r="AE136" s="1"/>
      <c r="AF136" s="1"/>
      <c r="AG136" s="1"/>
    </row>
    <row r="137" spans="31:33" ht="15.75" customHeight="1" x14ac:dyDescent="0.2">
      <c r="AE137" s="1"/>
      <c r="AF137" s="1"/>
      <c r="AG137" s="1"/>
    </row>
    <row r="138" spans="31:33" ht="15.75" customHeight="1" x14ac:dyDescent="0.2">
      <c r="AE138" s="1"/>
      <c r="AF138" s="1"/>
      <c r="AG138" s="1"/>
    </row>
    <row r="139" spans="31:33" ht="15.75" customHeight="1" x14ac:dyDescent="0.2">
      <c r="AE139" s="1"/>
      <c r="AF139" s="1"/>
      <c r="AG139" s="1"/>
    </row>
    <row r="140" spans="31:33" ht="15.75" customHeight="1" x14ac:dyDescent="0.2">
      <c r="AE140" s="1"/>
      <c r="AF140" s="1"/>
      <c r="AG140" s="1"/>
    </row>
    <row r="141" spans="31:33" ht="15.75" customHeight="1" x14ac:dyDescent="0.2">
      <c r="AE141" s="1"/>
      <c r="AF141" s="1"/>
      <c r="AG141" s="1"/>
    </row>
    <row r="142" spans="31:33" ht="15.75" customHeight="1" x14ac:dyDescent="0.2">
      <c r="AE142" s="1"/>
      <c r="AF142" s="1"/>
      <c r="AG142" s="1"/>
    </row>
    <row r="143" spans="31:33" ht="15.75" customHeight="1" x14ac:dyDescent="0.2">
      <c r="AE143" s="1"/>
      <c r="AF143" s="1"/>
      <c r="AG143" s="1"/>
    </row>
    <row r="144" spans="31:33" ht="15.75" customHeight="1" x14ac:dyDescent="0.2">
      <c r="AE144" s="1"/>
      <c r="AF144" s="1"/>
      <c r="AG144" s="1"/>
    </row>
    <row r="145" spans="31:33" ht="15.75" customHeight="1" x14ac:dyDescent="0.2">
      <c r="AE145" s="1"/>
      <c r="AF145" s="1"/>
      <c r="AG145" s="1"/>
    </row>
    <row r="146" spans="31:33" ht="15.75" customHeight="1" x14ac:dyDescent="0.2">
      <c r="AE146" s="1"/>
      <c r="AF146" s="1"/>
      <c r="AG146" s="1"/>
    </row>
    <row r="147" spans="31:33" ht="15.75" customHeight="1" x14ac:dyDescent="0.2">
      <c r="AE147" s="1"/>
      <c r="AF147" s="1"/>
      <c r="AG147" s="1"/>
    </row>
    <row r="148" spans="31:33" ht="15.75" customHeight="1" x14ac:dyDescent="0.2">
      <c r="AE148" s="1"/>
      <c r="AF148" s="1"/>
      <c r="AG148" s="1"/>
    </row>
    <row r="149" spans="31:33" ht="15.75" customHeight="1" x14ac:dyDescent="0.2">
      <c r="AE149" s="1"/>
      <c r="AF149" s="1"/>
      <c r="AG149" s="1"/>
    </row>
    <row r="150" spans="31:33" ht="15.75" customHeight="1" x14ac:dyDescent="0.2">
      <c r="AE150" s="1"/>
      <c r="AF150" s="1"/>
      <c r="AG150" s="1"/>
    </row>
    <row r="151" spans="31:33" ht="15.75" customHeight="1" x14ac:dyDescent="0.2">
      <c r="AE151" s="1"/>
      <c r="AF151" s="1"/>
      <c r="AG151" s="1"/>
    </row>
    <row r="152" spans="31:33" ht="15.75" customHeight="1" x14ac:dyDescent="0.2">
      <c r="AE152" s="1"/>
      <c r="AF152" s="1"/>
      <c r="AG152" s="1"/>
    </row>
    <row r="153" spans="31:33" ht="15.75" customHeight="1" x14ac:dyDescent="0.2">
      <c r="AE153" s="1"/>
      <c r="AF153" s="1"/>
      <c r="AG153" s="1"/>
    </row>
    <row r="154" spans="31:33" ht="15.75" customHeight="1" x14ac:dyDescent="0.2">
      <c r="AE154" s="1"/>
      <c r="AF154" s="1"/>
      <c r="AG154" s="1"/>
    </row>
    <row r="155" spans="31:33" ht="15.75" customHeight="1" x14ac:dyDescent="0.2">
      <c r="AE155" s="1"/>
      <c r="AF155" s="1"/>
      <c r="AG155" s="1"/>
    </row>
    <row r="156" spans="31:33" ht="15.75" customHeight="1" x14ac:dyDescent="0.2">
      <c r="AE156" s="1"/>
      <c r="AF156" s="1"/>
      <c r="AG156" s="1"/>
    </row>
    <row r="157" spans="31:33" ht="15.75" customHeight="1" x14ac:dyDescent="0.2">
      <c r="AE157" s="1"/>
      <c r="AF157" s="1"/>
      <c r="AG157" s="1"/>
    </row>
    <row r="158" spans="31:33" ht="15.75" customHeight="1" x14ac:dyDescent="0.2">
      <c r="AE158" s="1"/>
      <c r="AF158" s="1"/>
      <c r="AG158" s="1"/>
    </row>
    <row r="159" spans="31:33" ht="15.75" customHeight="1" x14ac:dyDescent="0.2">
      <c r="AE159" s="1"/>
      <c r="AF159" s="1"/>
      <c r="AG159" s="1"/>
    </row>
    <row r="160" spans="31:33" ht="15.75" customHeight="1" x14ac:dyDescent="0.2">
      <c r="AE160" s="1"/>
      <c r="AF160" s="1"/>
      <c r="AG160" s="1"/>
    </row>
    <row r="161" spans="31:33" ht="15.75" customHeight="1" x14ac:dyDescent="0.2">
      <c r="AE161" s="1"/>
      <c r="AF161" s="1"/>
      <c r="AG161" s="1"/>
    </row>
    <row r="162" spans="31:33" ht="15.75" customHeight="1" x14ac:dyDescent="0.2">
      <c r="AE162" s="1"/>
      <c r="AF162" s="1"/>
      <c r="AG162" s="1"/>
    </row>
    <row r="163" spans="31:33" ht="15.75" customHeight="1" x14ac:dyDescent="0.2">
      <c r="AE163" s="1"/>
      <c r="AF163" s="1"/>
      <c r="AG163" s="1"/>
    </row>
    <row r="164" spans="31:33" ht="15.75" customHeight="1" x14ac:dyDescent="0.2">
      <c r="AE164" s="1"/>
      <c r="AF164" s="1"/>
      <c r="AG164" s="1"/>
    </row>
    <row r="165" spans="31:33" ht="15.75" customHeight="1" x14ac:dyDescent="0.2">
      <c r="AE165" s="1"/>
      <c r="AF165" s="1"/>
      <c r="AG165" s="1"/>
    </row>
    <row r="166" spans="31:33" ht="15.75" customHeight="1" x14ac:dyDescent="0.2">
      <c r="AE166" s="1"/>
      <c r="AF166" s="1"/>
      <c r="AG166" s="1"/>
    </row>
    <row r="167" spans="31:33" ht="15.75" customHeight="1" x14ac:dyDescent="0.2">
      <c r="AE167" s="1"/>
      <c r="AF167" s="1"/>
      <c r="AG167" s="1"/>
    </row>
    <row r="168" spans="31:33" ht="15.75" customHeight="1" x14ac:dyDescent="0.2">
      <c r="AE168" s="1"/>
      <c r="AF168" s="1"/>
      <c r="AG168" s="1"/>
    </row>
    <row r="169" spans="31:33" ht="15.75" customHeight="1" x14ac:dyDescent="0.2">
      <c r="AE169" s="1"/>
      <c r="AF169" s="1"/>
      <c r="AG169" s="1"/>
    </row>
    <row r="170" spans="31:33" ht="15.75" customHeight="1" x14ac:dyDescent="0.2">
      <c r="AE170" s="1"/>
      <c r="AF170" s="1"/>
      <c r="AG170" s="1"/>
    </row>
    <row r="171" spans="31:33" ht="15.75" customHeight="1" x14ac:dyDescent="0.2">
      <c r="AE171" s="1"/>
      <c r="AF171" s="1"/>
      <c r="AG171" s="1"/>
    </row>
    <row r="172" spans="31:33" ht="15.75" customHeight="1" x14ac:dyDescent="0.2">
      <c r="AE172" s="1"/>
      <c r="AF172" s="1"/>
      <c r="AG172" s="1"/>
    </row>
    <row r="173" spans="31:33" ht="15.75" customHeight="1" x14ac:dyDescent="0.2">
      <c r="AE173" s="1"/>
      <c r="AF173" s="1"/>
      <c r="AG173" s="1"/>
    </row>
    <row r="174" spans="31:33" ht="15.75" customHeight="1" x14ac:dyDescent="0.2">
      <c r="AE174" s="1"/>
      <c r="AF174" s="1"/>
      <c r="AG174" s="1"/>
    </row>
    <row r="175" spans="31:33" ht="15.75" customHeight="1" x14ac:dyDescent="0.2">
      <c r="AE175" s="1"/>
      <c r="AF175" s="1"/>
      <c r="AG175" s="1"/>
    </row>
    <row r="176" spans="31:33" ht="15.75" customHeight="1" x14ac:dyDescent="0.2">
      <c r="AE176" s="1"/>
      <c r="AF176" s="1"/>
      <c r="AG176" s="1"/>
    </row>
    <row r="177" spans="31:33" ht="15.75" customHeight="1" x14ac:dyDescent="0.2">
      <c r="AE177" s="1"/>
      <c r="AF177" s="1"/>
      <c r="AG177" s="1"/>
    </row>
    <row r="178" spans="31:33" ht="15.75" customHeight="1" x14ac:dyDescent="0.2">
      <c r="AE178" s="1"/>
      <c r="AF178" s="1"/>
      <c r="AG178" s="1"/>
    </row>
    <row r="179" spans="31:33" ht="15.75" customHeight="1" x14ac:dyDescent="0.2">
      <c r="AE179" s="1"/>
      <c r="AF179" s="1"/>
      <c r="AG179" s="1"/>
    </row>
    <row r="180" spans="31:33" ht="15.75" customHeight="1" x14ac:dyDescent="0.2">
      <c r="AE180" s="1"/>
      <c r="AF180" s="1"/>
      <c r="AG180" s="1"/>
    </row>
    <row r="181" spans="31:33" ht="15.75" customHeight="1" x14ac:dyDescent="0.2">
      <c r="AE181" s="1"/>
      <c r="AF181" s="1"/>
      <c r="AG181" s="1"/>
    </row>
    <row r="182" spans="31:33" ht="15.75" customHeight="1" x14ac:dyDescent="0.2">
      <c r="AE182" s="1"/>
      <c r="AF182" s="1"/>
      <c r="AG182" s="1"/>
    </row>
    <row r="183" spans="31:33" ht="15.75" customHeight="1" x14ac:dyDescent="0.2">
      <c r="AE183" s="1"/>
      <c r="AF183" s="1"/>
      <c r="AG183" s="1"/>
    </row>
    <row r="184" spans="31:33" ht="15.75" customHeight="1" x14ac:dyDescent="0.2">
      <c r="AE184" s="1"/>
      <c r="AF184" s="1"/>
      <c r="AG184" s="1"/>
    </row>
    <row r="185" spans="31:33" ht="15.75" customHeight="1" x14ac:dyDescent="0.2">
      <c r="AE185" s="1"/>
      <c r="AF185" s="1"/>
      <c r="AG185" s="1"/>
    </row>
    <row r="186" spans="31:33" ht="15.75" customHeight="1" x14ac:dyDescent="0.2">
      <c r="AE186" s="1"/>
      <c r="AF186" s="1"/>
      <c r="AG186" s="1"/>
    </row>
    <row r="187" spans="31:33" ht="15.75" customHeight="1" x14ac:dyDescent="0.2">
      <c r="AE187" s="1"/>
      <c r="AF187" s="1"/>
      <c r="AG187" s="1"/>
    </row>
    <row r="188" spans="31:33" ht="15.75" customHeight="1" x14ac:dyDescent="0.2">
      <c r="AE188" s="1"/>
      <c r="AF188" s="1"/>
      <c r="AG188" s="1"/>
    </row>
    <row r="189" spans="31:33" ht="15.75" customHeight="1" x14ac:dyDescent="0.2">
      <c r="AE189" s="1"/>
      <c r="AF189" s="1"/>
      <c r="AG189" s="1"/>
    </row>
    <row r="190" spans="31:33" ht="15.75" customHeight="1" x14ac:dyDescent="0.2">
      <c r="AE190" s="1"/>
      <c r="AF190" s="1"/>
      <c r="AG190" s="1"/>
    </row>
    <row r="191" spans="31:33" ht="15.75" customHeight="1" x14ac:dyDescent="0.2">
      <c r="AE191" s="1"/>
      <c r="AF191" s="1"/>
      <c r="AG191" s="1"/>
    </row>
    <row r="192" spans="31:33" ht="15.75" customHeight="1" x14ac:dyDescent="0.2">
      <c r="AE192" s="1"/>
      <c r="AF192" s="1"/>
      <c r="AG192" s="1"/>
    </row>
    <row r="193" spans="31:33" ht="15.75" customHeight="1" x14ac:dyDescent="0.2">
      <c r="AE193" s="1"/>
      <c r="AF193" s="1"/>
      <c r="AG193" s="1"/>
    </row>
    <row r="194" spans="31:33" ht="15.75" customHeight="1" x14ac:dyDescent="0.2">
      <c r="AE194" s="1"/>
      <c r="AF194" s="1"/>
      <c r="AG194" s="1"/>
    </row>
    <row r="195" spans="31:33" ht="15.75" customHeight="1" x14ac:dyDescent="0.2">
      <c r="AE195" s="1"/>
      <c r="AF195" s="1"/>
      <c r="AG195" s="1"/>
    </row>
    <row r="196" spans="31:33" ht="15.75" customHeight="1" x14ac:dyDescent="0.2">
      <c r="AE196" s="1"/>
      <c r="AF196" s="1"/>
      <c r="AG196" s="1"/>
    </row>
    <row r="197" spans="31:33" ht="15.75" customHeight="1" x14ac:dyDescent="0.2">
      <c r="AE197" s="1"/>
      <c r="AF197" s="1"/>
      <c r="AG197" s="1"/>
    </row>
    <row r="198" spans="31:33" ht="15.75" customHeight="1" x14ac:dyDescent="0.2">
      <c r="AE198" s="1"/>
      <c r="AF198" s="1"/>
      <c r="AG198" s="1"/>
    </row>
    <row r="199" spans="31:33" ht="15.75" customHeight="1" x14ac:dyDescent="0.2">
      <c r="AE199" s="1"/>
      <c r="AF199" s="1"/>
      <c r="AG199" s="1"/>
    </row>
    <row r="200" spans="31:33" ht="15.75" customHeight="1" x14ac:dyDescent="0.2">
      <c r="AE200" s="1"/>
      <c r="AF200" s="1"/>
      <c r="AG200" s="1"/>
    </row>
    <row r="201" spans="31:33" ht="15.75" customHeight="1" x14ac:dyDescent="0.2">
      <c r="AE201" s="1"/>
      <c r="AF201" s="1"/>
      <c r="AG201" s="1"/>
    </row>
    <row r="202" spans="31:33" ht="15.75" customHeight="1" x14ac:dyDescent="0.2">
      <c r="AE202" s="1"/>
      <c r="AF202" s="1"/>
      <c r="AG202" s="1"/>
    </row>
    <row r="203" spans="31:33" ht="15.75" customHeight="1" x14ac:dyDescent="0.2">
      <c r="AE203" s="1"/>
      <c r="AF203" s="1"/>
      <c r="AG203" s="1"/>
    </row>
    <row r="204" spans="31:33" ht="15.75" customHeight="1" x14ac:dyDescent="0.2">
      <c r="AE204" s="1"/>
      <c r="AF204" s="1"/>
      <c r="AG204" s="1"/>
    </row>
    <row r="205" spans="31:33" ht="15.75" customHeight="1" x14ac:dyDescent="0.2">
      <c r="AE205" s="1"/>
      <c r="AF205" s="1"/>
      <c r="AG205" s="1"/>
    </row>
    <row r="206" spans="31:33" ht="15.75" customHeight="1" x14ac:dyDescent="0.2">
      <c r="AE206" s="1"/>
      <c r="AF206" s="1"/>
      <c r="AG206" s="1"/>
    </row>
    <row r="207" spans="31:33" ht="15.75" customHeight="1" x14ac:dyDescent="0.2">
      <c r="AE207" s="1"/>
      <c r="AF207" s="1"/>
      <c r="AG207" s="1"/>
    </row>
    <row r="208" spans="31:33" ht="15.75" customHeight="1" x14ac:dyDescent="0.2">
      <c r="AE208" s="1"/>
      <c r="AF208" s="1"/>
      <c r="AG208" s="1"/>
    </row>
    <row r="209" spans="31:33" ht="15.75" customHeight="1" x14ac:dyDescent="0.2">
      <c r="AE209" s="1"/>
      <c r="AF209" s="1"/>
      <c r="AG209" s="1"/>
    </row>
    <row r="210" spans="31:33" ht="15.75" customHeight="1" x14ac:dyDescent="0.2">
      <c r="AE210" s="1"/>
      <c r="AF210" s="1"/>
      <c r="AG210" s="1"/>
    </row>
    <row r="211" spans="31:33" ht="15.75" customHeight="1" x14ac:dyDescent="0.2">
      <c r="AE211" s="1"/>
      <c r="AF211" s="1"/>
      <c r="AG211" s="1"/>
    </row>
    <row r="212" spans="31:33" ht="15.75" customHeight="1" x14ac:dyDescent="0.2">
      <c r="AE212" s="1"/>
      <c r="AF212" s="1"/>
      <c r="AG212" s="1"/>
    </row>
    <row r="213" spans="31:33" ht="15.75" customHeight="1" x14ac:dyDescent="0.2">
      <c r="AE213" s="1"/>
      <c r="AF213" s="1"/>
      <c r="AG213" s="1"/>
    </row>
    <row r="214" spans="31:33" ht="15.75" customHeight="1" x14ac:dyDescent="0.2">
      <c r="AE214" s="1"/>
      <c r="AF214" s="1"/>
      <c r="AG214" s="1"/>
    </row>
    <row r="215" spans="31:33" ht="15.75" customHeight="1" x14ac:dyDescent="0.2">
      <c r="AE215" s="1"/>
      <c r="AF215" s="1"/>
      <c r="AG215" s="1"/>
    </row>
    <row r="216" spans="31:33" ht="15.75" customHeight="1" x14ac:dyDescent="0.2">
      <c r="AE216" s="1"/>
      <c r="AF216" s="1"/>
      <c r="AG216" s="1"/>
    </row>
    <row r="217" spans="31:33" ht="15.75" customHeight="1" x14ac:dyDescent="0.2">
      <c r="AE217" s="1"/>
      <c r="AF217" s="1"/>
      <c r="AG217" s="1"/>
    </row>
    <row r="218" spans="31:33" ht="15.75" customHeight="1" x14ac:dyDescent="0.2">
      <c r="AE218" s="1"/>
      <c r="AF218" s="1"/>
      <c r="AG218" s="1"/>
    </row>
    <row r="219" spans="31:33" ht="15.75" customHeight="1" x14ac:dyDescent="0.2">
      <c r="AE219" s="1"/>
      <c r="AF219" s="1"/>
      <c r="AG219" s="1"/>
    </row>
    <row r="220" spans="31:33" ht="15.75" customHeight="1" x14ac:dyDescent="0.2">
      <c r="AE220" s="1"/>
      <c r="AF220" s="1"/>
      <c r="AG220" s="1"/>
    </row>
    <row r="221" spans="31:33" ht="15.75" customHeight="1" x14ac:dyDescent="0.2">
      <c r="AE221" s="1"/>
      <c r="AF221" s="1"/>
      <c r="AG221" s="1"/>
    </row>
    <row r="222" spans="31:33" ht="15.75" customHeight="1" x14ac:dyDescent="0.2">
      <c r="AE222" s="1"/>
      <c r="AF222" s="1"/>
      <c r="AG222" s="1"/>
    </row>
    <row r="223" spans="31:33" ht="15.75" customHeight="1" x14ac:dyDescent="0.2">
      <c r="AE223" s="1"/>
      <c r="AF223" s="1"/>
      <c r="AG223" s="1"/>
    </row>
    <row r="224" spans="31:33" ht="15.75" customHeight="1" x14ac:dyDescent="0.2">
      <c r="AE224" s="1"/>
      <c r="AF224" s="1"/>
      <c r="AG224" s="1"/>
    </row>
    <row r="225" spans="31:33" ht="15.75" customHeight="1" x14ac:dyDescent="0.2">
      <c r="AE225" s="1"/>
      <c r="AF225" s="1"/>
      <c r="AG225" s="1"/>
    </row>
    <row r="226" spans="31:33" ht="15.75" customHeight="1" x14ac:dyDescent="0.2">
      <c r="AE226" s="1"/>
      <c r="AF226" s="1"/>
      <c r="AG226" s="1"/>
    </row>
    <row r="227" spans="31:33" ht="15.75" customHeight="1" x14ac:dyDescent="0.2">
      <c r="AE227" s="1"/>
      <c r="AF227" s="1"/>
      <c r="AG227" s="1"/>
    </row>
    <row r="228" spans="31:33" ht="15.75" customHeight="1" x14ac:dyDescent="0.2">
      <c r="AE228" s="1"/>
      <c r="AF228" s="1"/>
      <c r="AG228" s="1"/>
    </row>
    <row r="229" spans="31:33" ht="15.75" customHeight="1" x14ac:dyDescent="0.2">
      <c r="AE229" s="1"/>
      <c r="AF229" s="1"/>
      <c r="AG229" s="1"/>
    </row>
    <row r="230" spans="31:33" ht="15.75" customHeight="1" x14ac:dyDescent="0.2">
      <c r="AE230" s="1"/>
      <c r="AF230" s="1"/>
      <c r="AG230" s="1"/>
    </row>
    <row r="231" spans="31:33" ht="15.75" customHeight="1" x14ac:dyDescent="0.2">
      <c r="AE231" s="1"/>
      <c r="AF231" s="1"/>
      <c r="AG231" s="1"/>
    </row>
    <row r="232" spans="31:33" ht="15.75" customHeight="1" x14ac:dyDescent="0.2">
      <c r="AE232" s="1"/>
      <c r="AF232" s="1"/>
      <c r="AG232" s="1"/>
    </row>
    <row r="233" spans="31:33" ht="15.75" customHeight="1" x14ac:dyDescent="0.2">
      <c r="AE233" s="1"/>
      <c r="AF233" s="1"/>
      <c r="AG233" s="1"/>
    </row>
    <row r="234" spans="31:33" ht="15.75" customHeight="1" x14ac:dyDescent="0.2">
      <c r="AE234" s="1"/>
      <c r="AF234" s="1"/>
      <c r="AG234" s="1"/>
    </row>
    <row r="235" spans="31:33" ht="15.75" customHeight="1" x14ac:dyDescent="0.2">
      <c r="AE235" s="1"/>
      <c r="AF235" s="1"/>
      <c r="AG235" s="1"/>
    </row>
    <row r="236" spans="31:33" ht="15.75" customHeight="1" x14ac:dyDescent="0.2">
      <c r="AE236" s="1"/>
      <c r="AF236" s="1"/>
      <c r="AG236" s="1"/>
    </row>
    <row r="237" spans="31:33" ht="15.75" customHeight="1" x14ac:dyDescent="0.2">
      <c r="AE237" s="1"/>
      <c r="AF237" s="1"/>
      <c r="AG237" s="1"/>
    </row>
    <row r="238" spans="31:33" ht="15.75" customHeight="1" x14ac:dyDescent="0.2">
      <c r="AE238" s="1"/>
      <c r="AF238" s="1"/>
      <c r="AG238" s="1"/>
    </row>
    <row r="239" spans="31:33" ht="15.75" customHeight="1" x14ac:dyDescent="0.2">
      <c r="AE239" s="1"/>
      <c r="AF239" s="1"/>
      <c r="AG239" s="1"/>
    </row>
    <row r="240" spans="31:33" ht="15.75" customHeight="1" x14ac:dyDescent="0.2">
      <c r="AE240" s="1"/>
      <c r="AF240" s="1"/>
      <c r="AG240" s="1"/>
    </row>
    <row r="241" spans="31:33" ht="15.75" customHeight="1" x14ac:dyDescent="0.2">
      <c r="AE241" s="1"/>
      <c r="AF241" s="1"/>
      <c r="AG241" s="1"/>
    </row>
    <row r="242" spans="31:33" ht="15.75" customHeight="1" x14ac:dyDescent="0.2">
      <c r="AE242" s="1"/>
      <c r="AF242" s="1"/>
      <c r="AG242" s="1"/>
    </row>
    <row r="243" spans="31:33" ht="15.75" customHeight="1" x14ac:dyDescent="0.2">
      <c r="AE243" s="1"/>
      <c r="AF243" s="1"/>
      <c r="AG243" s="1"/>
    </row>
    <row r="244" spans="31:33" ht="15.75" customHeight="1" x14ac:dyDescent="0.2">
      <c r="AE244" s="1"/>
      <c r="AF244" s="1"/>
      <c r="AG244" s="1"/>
    </row>
    <row r="245" spans="31:33" ht="15.75" customHeight="1" x14ac:dyDescent="0.2">
      <c r="AE245" s="1"/>
      <c r="AF245" s="1"/>
      <c r="AG245" s="1"/>
    </row>
    <row r="246" spans="31:33" ht="15.75" customHeight="1" x14ac:dyDescent="0.2">
      <c r="AE246" s="1"/>
      <c r="AF246" s="1"/>
      <c r="AG246" s="1"/>
    </row>
    <row r="247" spans="31:33" ht="15.75" customHeight="1" x14ac:dyDescent="0.2">
      <c r="AE247" s="1"/>
      <c r="AF247" s="1"/>
      <c r="AG247" s="1"/>
    </row>
    <row r="248" spans="31:33" ht="15.75" customHeight="1" x14ac:dyDescent="0.2">
      <c r="AE248" s="1"/>
      <c r="AF248" s="1"/>
      <c r="AG248" s="1"/>
    </row>
    <row r="249" spans="31:33" ht="15.75" customHeight="1" x14ac:dyDescent="0.2">
      <c r="AE249" s="1"/>
      <c r="AF249" s="1"/>
      <c r="AG249" s="1"/>
    </row>
    <row r="250" spans="31:33" ht="15.75" customHeight="1" x14ac:dyDescent="0.2">
      <c r="AE250" s="1"/>
      <c r="AF250" s="1"/>
      <c r="AG250" s="1"/>
    </row>
    <row r="251" spans="31:33" ht="15.75" customHeight="1" x14ac:dyDescent="0.2">
      <c r="AE251" s="1"/>
      <c r="AF251" s="1"/>
      <c r="AG251" s="1"/>
    </row>
    <row r="252" spans="31:33" ht="15.75" customHeight="1" x14ac:dyDescent="0.2">
      <c r="AE252" s="1"/>
      <c r="AF252" s="1"/>
      <c r="AG252" s="1"/>
    </row>
    <row r="253" spans="31:33" ht="15.75" customHeight="1" x14ac:dyDescent="0.2">
      <c r="AE253" s="1"/>
      <c r="AF253" s="1"/>
      <c r="AG253" s="1"/>
    </row>
    <row r="254" spans="31:33" ht="15.75" customHeight="1" x14ac:dyDescent="0.2">
      <c r="AE254" s="1"/>
      <c r="AF254" s="1"/>
      <c r="AG254" s="1"/>
    </row>
    <row r="255" spans="31:33" ht="15.75" customHeight="1" x14ac:dyDescent="0.2">
      <c r="AE255" s="1"/>
      <c r="AF255" s="1"/>
      <c r="AG255" s="1"/>
    </row>
    <row r="256" spans="31:33" ht="15.75" customHeight="1" x14ac:dyDescent="0.2">
      <c r="AE256" s="1"/>
      <c r="AF256" s="1"/>
      <c r="AG256" s="1"/>
    </row>
    <row r="257" spans="31:33" ht="15.75" customHeight="1" x14ac:dyDescent="0.2">
      <c r="AE257" s="1"/>
      <c r="AF257" s="1"/>
      <c r="AG257" s="1"/>
    </row>
    <row r="258" spans="31:33" ht="15.75" customHeight="1" x14ac:dyDescent="0.2">
      <c r="AE258" s="1"/>
      <c r="AF258" s="1"/>
      <c r="AG258" s="1"/>
    </row>
    <row r="259" spans="31:33" ht="15.75" customHeight="1" x14ac:dyDescent="0.2">
      <c r="AE259" s="1"/>
      <c r="AF259" s="1"/>
      <c r="AG259" s="1"/>
    </row>
    <row r="260" spans="31:33" ht="15.75" customHeight="1" x14ac:dyDescent="0.2">
      <c r="AE260" s="1"/>
      <c r="AF260" s="1"/>
      <c r="AG260" s="1"/>
    </row>
    <row r="261" spans="31:33" ht="15.75" customHeight="1" x14ac:dyDescent="0.2">
      <c r="AE261" s="1"/>
      <c r="AF261" s="1"/>
      <c r="AG261" s="1"/>
    </row>
    <row r="262" spans="31:33" ht="15.75" customHeight="1" x14ac:dyDescent="0.2">
      <c r="AE262" s="1"/>
      <c r="AF262" s="1"/>
      <c r="AG262" s="1"/>
    </row>
    <row r="263" spans="31:33" ht="15.75" customHeight="1" x14ac:dyDescent="0.2">
      <c r="AE263" s="1"/>
      <c r="AF263" s="1"/>
      <c r="AG263" s="1"/>
    </row>
    <row r="264" spans="31:33" ht="15.75" customHeight="1" x14ac:dyDescent="0.2">
      <c r="AE264" s="1"/>
      <c r="AF264" s="1"/>
      <c r="AG264" s="1"/>
    </row>
    <row r="265" spans="31:33" ht="15.75" customHeight="1" x14ac:dyDescent="0.2">
      <c r="AE265" s="1"/>
      <c r="AF265" s="1"/>
      <c r="AG265" s="1"/>
    </row>
    <row r="266" spans="31:33" ht="15.75" customHeight="1" x14ac:dyDescent="0.2">
      <c r="AE266" s="1"/>
      <c r="AF266" s="1"/>
      <c r="AG266" s="1"/>
    </row>
    <row r="267" spans="31:33" ht="15.75" customHeight="1" x14ac:dyDescent="0.2">
      <c r="AE267" s="1"/>
      <c r="AF267" s="1"/>
      <c r="AG267" s="1"/>
    </row>
    <row r="268" spans="31:33" ht="15.75" customHeight="1" x14ac:dyDescent="0.2">
      <c r="AE268" s="1"/>
      <c r="AF268" s="1"/>
      <c r="AG268" s="1"/>
    </row>
    <row r="269" spans="31:33" ht="15.75" customHeight="1" x14ac:dyDescent="0.2">
      <c r="AE269" s="1"/>
      <c r="AF269" s="1"/>
      <c r="AG269" s="1"/>
    </row>
    <row r="270" spans="31:33" ht="15.75" customHeight="1" x14ac:dyDescent="0.2">
      <c r="AE270" s="1"/>
      <c r="AF270" s="1"/>
      <c r="AG270" s="1"/>
    </row>
    <row r="271" spans="31:33" ht="15.75" customHeight="1" x14ac:dyDescent="0.2">
      <c r="AE271" s="1"/>
      <c r="AF271" s="1"/>
      <c r="AG271" s="1"/>
    </row>
    <row r="272" spans="31:33" ht="15.75" customHeight="1" x14ac:dyDescent="0.2">
      <c r="AE272" s="1"/>
      <c r="AF272" s="1"/>
      <c r="AG272" s="1"/>
    </row>
    <row r="273" spans="31:33" ht="15.75" customHeight="1" x14ac:dyDescent="0.2">
      <c r="AE273" s="1"/>
      <c r="AF273" s="1"/>
      <c r="AG273" s="1"/>
    </row>
    <row r="274" spans="31:33" ht="15.75" customHeight="1" x14ac:dyDescent="0.2">
      <c r="AE274" s="1"/>
      <c r="AF274" s="1"/>
      <c r="AG274" s="1"/>
    </row>
    <row r="275" spans="31:33" ht="15.75" customHeight="1" x14ac:dyDescent="0.2">
      <c r="AE275" s="1"/>
      <c r="AF275" s="1"/>
      <c r="AG275" s="1"/>
    </row>
    <row r="276" spans="31:33" ht="15.75" customHeight="1" x14ac:dyDescent="0.2">
      <c r="AE276" s="1"/>
      <c r="AF276" s="1"/>
      <c r="AG276" s="1"/>
    </row>
    <row r="277" spans="31:33" ht="15.75" customHeight="1" x14ac:dyDescent="0.2">
      <c r="AE277" s="1"/>
      <c r="AF277" s="1"/>
      <c r="AG277" s="1"/>
    </row>
    <row r="278" spans="31:33" ht="15.75" customHeight="1" x14ac:dyDescent="0.2">
      <c r="AE278" s="1"/>
      <c r="AF278" s="1"/>
      <c r="AG278" s="1"/>
    </row>
    <row r="279" spans="31:33" ht="15.75" customHeight="1" x14ac:dyDescent="0.2">
      <c r="AE279" s="1"/>
      <c r="AF279" s="1"/>
      <c r="AG279" s="1"/>
    </row>
    <row r="280" spans="31:33" ht="15.75" customHeight="1" x14ac:dyDescent="0.2">
      <c r="AE280" s="1"/>
      <c r="AF280" s="1"/>
      <c r="AG280" s="1"/>
    </row>
    <row r="281" spans="31:33" ht="15.75" customHeight="1" x14ac:dyDescent="0.2">
      <c r="AE281" s="1"/>
      <c r="AF281" s="1"/>
      <c r="AG281" s="1"/>
    </row>
    <row r="282" spans="31:33" ht="15.75" customHeight="1" x14ac:dyDescent="0.2">
      <c r="AE282" s="1"/>
      <c r="AF282" s="1"/>
      <c r="AG282" s="1"/>
    </row>
    <row r="283" spans="31:33" ht="15.75" customHeight="1" x14ac:dyDescent="0.2">
      <c r="AE283" s="1"/>
      <c r="AF283" s="1"/>
      <c r="AG283" s="1"/>
    </row>
    <row r="284" spans="31:33" ht="15.75" customHeight="1" x14ac:dyDescent="0.2">
      <c r="AE284" s="1"/>
      <c r="AF284" s="1"/>
      <c r="AG284" s="1"/>
    </row>
    <row r="285" spans="31:33" ht="15.75" customHeight="1" x14ac:dyDescent="0.2">
      <c r="AE285" s="1"/>
      <c r="AF285" s="1"/>
      <c r="AG285" s="1"/>
    </row>
    <row r="286" spans="31:33" ht="15.75" customHeight="1" x14ac:dyDescent="0.2">
      <c r="AE286" s="1"/>
      <c r="AF286" s="1"/>
      <c r="AG286" s="1"/>
    </row>
    <row r="287" spans="31:33" ht="15.75" customHeight="1" x14ac:dyDescent="0.2">
      <c r="AE287" s="1"/>
      <c r="AF287" s="1"/>
      <c r="AG287" s="1"/>
    </row>
    <row r="288" spans="31:33" ht="15.75" customHeight="1" x14ac:dyDescent="0.2">
      <c r="AE288" s="1"/>
      <c r="AF288" s="1"/>
      <c r="AG288" s="1"/>
    </row>
    <row r="289" spans="31:33" ht="15.75" customHeight="1" x14ac:dyDescent="0.2">
      <c r="AE289" s="1"/>
      <c r="AF289" s="1"/>
      <c r="AG289" s="1"/>
    </row>
    <row r="290" spans="31:33" ht="15.75" customHeight="1" x14ac:dyDescent="0.2">
      <c r="AE290" s="1"/>
      <c r="AF290" s="1"/>
      <c r="AG290" s="1"/>
    </row>
    <row r="291" spans="31:33" ht="15.75" customHeight="1" x14ac:dyDescent="0.2">
      <c r="AE291" s="1"/>
      <c r="AF291" s="1"/>
      <c r="AG291" s="1"/>
    </row>
    <row r="292" spans="31:33" ht="15.75" customHeight="1" x14ac:dyDescent="0.2">
      <c r="AE292" s="1"/>
      <c r="AF292" s="1"/>
      <c r="AG292" s="1"/>
    </row>
    <row r="293" spans="31:33" ht="15.75" customHeight="1" x14ac:dyDescent="0.2">
      <c r="AE293" s="1"/>
      <c r="AF293" s="1"/>
      <c r="AG293" s="1"/>
    </row>
    <row r="294" spans="31:33" ht="15.75" customHeight="1" x14ac:dyDescent="0.2">
      <c r="AE294" s="1"/>
      <c r="AF294" s="1"/>
      <c r="AG294" s="1"/>
    </row>
    <row r="295" spans="31:33" ht="15.75" customHeight="1" x14ac:dyDescent="0.2">
      <c r="AE295" s="1"/>
      <c r="AF295" s="1"/>
      <c r="AG295" s="1"/>
    </row>
    <row r="296" spans="31:33" ht="15.75" customHeight="1" x14ac:dyDescent="0.2">
      <c r="AE296" s="1"/>
      <c r="AF296" s="1"/>
      <c r="AG296" s="1"/>
    </row>
    <row r="297" spans="31:33" ht="15.75" customHeight="1" x14ac:dyDescent="0.2">
      <c r="AE297" s="1"/>
      <c r="AF297" s="1"/>
      <c r="AG297" s="1"/>
    </row>
    <row r="298" spans="31:33" ht="15.75" customHeight="1" x14ac:dyDescent="0.2">
      <c r="AE298" s="1"/>
      <c r="AF298" s="1"/>
      <c r="AG298" s="1"/>
    </row>
    <row r="299" spans="31:33" ht="15.75" customHeight="1" x14ac:dyDescent="0.2">
      <c r="AE299" s="1"/>
      <c r="AF299" s="1"/>
      <c r="AG299" s="1"/>
    </row>
    <row r="300" spans="31:33" ht="15.75" customHeight="1" x14ac:dyDescent="0.2">
      <c r="AE300" s="1"/>
      <c r="AF300" s="1"/>
      <c r="AG300" s="1"/>
    </row>
    <row r="301" spans="31:33" ht="15.75" customHeight="1" x14ac:dyDescent="0.2">
      <c r="AE301" s="1"/>
      <c r="AF301" s="1"/>
      <c r="AG301" s="1"/>
    </row>
    <row r="302" spans="31:33" ht="15.75" customHeight="1" x14ac:dyDescent="0.2">
      <c r="AE302" s="1"/>
      <c r="AF302" s="1"/>
      <c r="AG302" s="1"/>
    </row>
    <row r="303" spans="31:33" ht="15.75" customHeight="1" x14ac:dyDescent="0.2">
      <c r="AE303" s="1"/>
      <c r="AF303" s="1"/>
      <c r="AG303" s="1"/>
    </row>
    <row r="304" spans="31:33" ht="15.75" customHeight="1" x14ac:dyDescent="0.2">
      <c r="AE304" s="1"/>
      <c r="AF304" s="1"/>
      <c r="AG304" s="1"/>
    </row>
    <row r="305" spans="31:33" ht="15.75" customHeight="1" x14ac:dyDescent="0.2">
      <c r="AE305" s="1"/>
      <c r="AF305" s="1"/>
      <c r="AG305" s="1"/>
    </row>
    <row r="306" spans="31:33" ht="15.75" customHeight="1" x14ac:dyDescent="0.2">
      <c r="AE306" s="1"/>
      <c r="AF306" s="1"/>
      <c r="AG306" s="1"/>
    </row>
    <row r="307" spans="31:33" ht="15.75" customHeight="1" x14ac:dyDescent="0.2">
      <c r="AE307" s="1"/>
      <c r="AF307" s="1"/>
      <c r="AG307" s="1"/>
    </row>
    <row r="308" spans="31:33" ht="15.75" customHeight="1" x14ac:dyDescent="0.2">
      <c r="AE308" s="1"/>
      <c r="AF308" s="1"/>
      <c r="AG308" s="1"/>
    </row>
    <row r="309" spans="31:33" ht="15.75" customHeight="1" x14ac:dyDescent="0.2">
      <c r="AE309" s="1"/>
      <c r="AF309" s="1"/>
      <c r="AG309" s="1"/>
    </row>
    <row r="310" spans="31:33" ht="15.75" customHeight="1" x14ac:dyDescent="0.2">
      <c r="AE310" s="1"/>
      <c r="AF310" s="1"/>
      <c r="AG310" s="1"/>
    </row>
    <row r="311" spans="31:33" ht="15.75" customHeight="1" x14ac:dyDescent="0.2">
      <c r="AE311" s="1"/>
      <c r="AF311" s="1"/>
      <c r="AG311" s="1"/>
    </row>
    <row r="312" spans="31:33" ht="15.75" customHeight="1" x14ac:dyDescent="0.2">
      <c r="AE312" s="1"/>
      <c r="AF312" s="1"/>
      <c r="AG312" s="1"/>
    </row>
    <row r="313" spans="31:33" ht="15.75" customHeight="1" x14ac:dyDescent="0.2">
      <c r="AE313" s="1"/>
      <c r="AF313" s="1"/>
      <c r="AG313" s="1"/>
    </row>
    <row r="314" spans="31:33" ht="15.75" customHeight="1" x14ac:dyDescent="0.2">
      <c r="AE314" s="1"/>
      <c r="AF314" s="1"/>
      <c r="AG314" s="1"/>
    </row>
    <row r="315" spans="31:33" ht="15.75" customHeight="1" x14ac:dyDescent="0.2">
      <c r="AE315" s="1"/>
      <c r="AF315" s="1"/>
      <c r="AG315" s="1"/>
    </row>
    <row r="316" spans="31:33" ht="15.75" customHeight="1" x14ac:dyDescent="0.2">
      <c r="AE316" s="1"/>
      <c r="AF316" s="1"/>
      <c r="AG316" s="1"/>
    </row>
    <row r="317" spans="31:33" ht="15.75" customHeight="1" x14ac:dyDescent="0.2">
      <c r="AE317" s="1"/>
      <c r="AF317" s="1"/>
      <c r="AG317" s="1"/>
    </row>
    <row r="318" spans="31:33" ht="15.75" customHeight="1" x14ac:dyDescent="0.2">
      <c r="AE318" s="1"/>
      <c r="AF318" s="1"/>
      <c r="AG318" s="1"/>
    </row>
    <row r="319" spans="31:33" ht="15.75" customHeight="1" x14ac:dyDescent="0.2">
      <c r="AE319" s="1"/>
      <c r="AF319" s="1"/>
      <c r="AG319" s="1"/>
    </row>
    <row r="320" spans="31:33" ht="15.75" customHeight="1" x14ac:dyDescent="0.2">
      <c r="AE320" s="1"/>
      <c r="AF320" s="1"/>
      <c r="AG320" s="1"/>
    </row>
    <row r="321" spans="31:33" ht="15.75" customHeight="1" x14ac:dyDescent="0.2">
      <c r="AE321" s="1"/>
      <c r="AF321" s="1"/>
      <c r="AG321" s="1"/>
    </row>
    <row r="322" spans="31:33" ht="15.75" customHeight="1" x14ac:dyDescent="0.2">
      <c r="AE322" s="1"/>
      <c r="AF322" s="1"/>
      <c r="AG322" s="1"/>
    </row>
    <row r="323" spans="31:33" ht="15.75" customHeight="1" x14ac:dyDescent="0.2">
      <c r="AE323" s="1"/>
      <c r="AF323" s="1"/>
      <c r="AG323" s="1"/>
    </row>
    <row r="324" spans="31:33" ht="15.75" customHeight="1" x14ac:dyDescent="0.2">
      <c r="AE324" s="1"/>
      <c r="AF324" s="1"/>
      <c r="AG324" s="1"/>
    </row>
    <row r="325" spans="31:33" ht="15.75" customHeight="1" x14ac:dyDescent="0.2">
      <c r="AE325" s="1"/>
      <c r="AF325" s="1"/>
      <c r="AG325" s="1"/>
    </row>
    <row r="326" spans="31:33" ht="15.75" customHeight="1" x14ac:dyDescent="0.2">
      <c r="AE326" s="1"/>
      <c r="AF326" s="1"/>
      <c r="AG326" s="1"/>
    </row>
    <row r="327" spans="31:33" ht="15.75" customHeight="1" x14ac:dyDescent="0.2">
      <c r="AE327" s="1"/>
      <c r="AF327" s="1"/>
      <c r="AG327" s="1"/>
    </row>
    <row r="328" spans="31:33" ht="15.75" customHeight="1" x14ac:dyDescent="0.2">
      <c r="AE328" s="1"/>
      <c r="AF328" s="1"/>
      <c r="AG328" s="1"/>
    </row>
    <row r="329" spans="31:33" ht="15.75" customHeight="1" x14ac:dyDescent="0.2">
      <c r="AE329" s="1"/>
      <c r="AF329" s="1"/>
      <c r="AG329" s="1"/>
    </row>
    <row r="330" spans="31:33" ht="15.75" customHeight="1" x14ac:dyDescent="0.2">
      <c r="AE330" s="1"/>
      <c r="AF330" s="1"/>
      <c r="AG330" s="1"/>
    </row>
    <row r="331" spans="31:33" ht="15.75" customHeight="1" x14ac:dyDescent="0.2">
      <c r="AE331" s="1"/>
      <c r="AF331" s="1"/>
      <c r="AG331" s="1"/>
    </row>
    <row r="332" spans="31:33" ht="15.75" customHeight="1" x14ac:dyDescent="0.2">
      <c r="AE332" s="1"/>
      <c r="AF332" s="1"/>
      <c r="AG332" s="1"/>
    </row>
    <row r="333" spans="31:33" ht="15.75" customHeight="1" x14ac:dyDescent="0.2">
      <c r="AE333" s="1"/>
      <c r="AF333" s="1"/>
      <c r="AG333" s="1"/>
    </row>
    <row r="334" spans="31:33" ht="15.75" customHeight="1" x14ac:dyDescent="0.2">
      <c r="AE334" s="1"/>
      <c r="AF334" s="1"/>
      <c r="AG334" s="1"/>
    </row>
    <row r="335" spans="31:33" ht="15.75" customHeight="1" x14ac:dyDescent="0.2">
      <c r="AE335" s="1"/>
      <c r="AF335" s="1"/>
      <c r="AG335" s="1"/>
    </row>
    <row r="336" spans="31:33" ht="15.75" customHeight="1" x14ac:dyDescent="0.2">
      <c r="AE336" s="1"/>
      <c r="AF336" s="1"/>
      <c r="AG336" s="1"/>
    </row>
    <row r="337" spans="31:33" ht="15.75" customHeight="1" x14ac:dyDescent="0.2">
      <c r="AE337" s="1"/>
      <c r="AF337" s="1"/>
      <c r="AG337" s="1"/>
    </row>
    <row r="338" spans="31:33" ht="15.75" customHeight="1" x14ac:dyDescent="0.2">
      <c r="AE338" s="1"/>
      <c r="AF338" s="1"/>
      <c r="AG338" s="1"/>
    </row>
    <row r="339" spans="31:33" ht="15.75" customHeight="1" x14ac:dyDescent="0.2">
      <c r="AE339" s="1"/>
      <c r="AF339" s="1"/>
      <c r="AG339" s="1"/>
    </row>
    <row r="340" spans="31:33" ht="15.75" customHeight="1" x14ac:dyDescent="0.2">
      <c r="AE340" s="1"/>
      <c r="AF340" s="1"/>
      <c r="AG340" s="1"/>
    </row>
    <row r="341" spans="31:33" ht="15.75" customHeight="1" x14ac:dyDescent="0.2">
      <c r="AE341" s="1"/>
      <c r="AF341" s="1"/>
      <c r="AG341" s="1"/>
    </row>
    <row r="342" spans="31:33" ht="15.75" customHeight="1" x14ac:dyDescent="0.2">
      <c r="AE342" s="1"/>
      <c r="AF342" s="1"/>
      <c r="AG342" s="1"/>
    </row>
    <row r="343" spans="31:33" ht="15.75" customHeight="1" x14ac:dyDescent="0.2">
      <c r="AE343" s="1"/>
      <c r="AF343" s="1"/>
      <c r="AG343" s="1"/>
    </row>
    <row r="344" spans="31:33" ht="15.75" customHeight="1" x14ac:dyDescent="0.2">
      <c r="AE344" s="1"/>
      <c r="AF344" s="1"/>
      <c r="AG344" s="1"/>
    </row>
    <row r="345" spans="31:33" ht="15.75" customHeight="1" x14ac:dyDescent="0.2">
      <c r="AE345" s="1"/>
      <c r="AF345" s="1"/>
      <c r="AG345" s="1"/>
    </row>
    <row r="346" spans="31:33" ht="15.75" customHeight="1" x14ac:dyDescent="0.2">
      <c r="AE346" s="1"/>
      <c r="AF346" s="1"/>
      <c r="AG346" s="1"/>
    </row>
    <row r="347" spans="31:33" ht="15.75" customHeight="1" x14ac:dyDescent="0.2">
      <c r="AE347" s="1"/>
      <c r="AF347" s="1"/>
      <c r="AG347" s="1"/>
    </row>
    <row r="348" spans="31:33" ht="15.75" customHeight="1" x14ac:dyDescent="0.2">
      <c r="AE348" s="1"/>
      <c r="AF348" s="1"/>
      <c r="AG348" s="1"/>
    </row>
    <row r="349" spans="31:33" ht="15.75" customHeight="1" x14ac:dyDescent="0.2">
      <c r="AE349" s="1"/>
      <c r="AF349" s="1"/>
      <c r="AG349" s="1"/>
    </row>
    <row r="350" spans="31:33" ht="15.75" customHeight="1" x14ac:dyDescent="0.2">
      <c r="AE350" s="1"/>
      <c r="AF350" s="1"/>
      <c r="AG350" s="1"/>
    </row>
    <row r="351" spans="31:33" ht="15.75" customHeight="1" x14ac:dyDescent="0.2">
      <c r="AE351" s="1"/>
      <c r="AF351" s="1"/>
      <c r="AG351" s="1"/>
    </row>
    <row r="352" spans="31:33" ht="15.75" customHeight="1" x14ac:dyDescent="0.2">
      <c r="AE352" s="1"/>
      <c r="AF352" s="1"/>
      <c r="AG352" s="1"/>
    </row>
    <row r="353" spans="31:33" ht="15.75" customHeight="1" x14ac:dyDescent="0.2">
      <c r="AE353" s="1"/>
      <c r="AF353" s="1"/>
      <c r="AG353" s="1"/>
    </row>
    <row r="354" spans="31:33" ht="15.75" customHeight="1" x14ac:dyDescent="0.2">
      <c r="AE354" s="1"/>
      <c r="AF354" s="1"/>
      <c r="AG354" s="1"/>
    </row>
    <row r="355" spans="31:33" ht="15.75" customHeight="1" x14ac:dyDescent="0.2">
      <c r="AE355" s="1"/>
      <c r="AF355" s="1"/>
      <c r="AG355" s="1"/>
    </row>
    <row r="356" spans="31:33" ht="15.75" customHeight="1" x14ac:dyDescent="0.2">
      <c r="AE356" s="1"/>
      <c r="AF356" s="1"/>
      <c r="AG356" s="1"/>
    </row>
    <row r="357" spans="31:33" ht="15.75" customHeight="1" x14ac:dyDescent="0.2">
      <c r="AE357" s="1"/>
      <c r="AF357" s="1"/>
      <c r="AG357" s="1"/>
    </row>
    <row r="358" spans="31:33" ht="15.75" customHeight="1" x14ac:dyDescent="0.2">
      <c r="AE358" s="1"/>
      <c r="AF358" s="1"/>
      <c r="AG358" s="1"/>
    </row>
    <row r="359" spans="31:33" ht="15.75" customHeight="1" x14ac:dyDescent="0.2">
      <c r="AE359" s="1"/>
      <c r="AF359" s="1"/>
      <c r="AG359" s="1"/>
    </row>
    <row r="360" spans="31:33" ht="15.75" customHeight="1" x14ac:dyDescent="0.2">
      <c r="AE360" s="1"/>
      <c r="AF360" s="1"/>
      <c r="AG360" s="1"/>
    </row>
    <row r="361" spans="31:33" ht="15.75" customHeight="1" x14ac:dyDescent="0.2">
      <c r="AE361" s="1"/>
      <c r="AF361" s="1"/>
      <c r="AG361" s="1"/>
    </row>
    <row r="362" spans="31:33" ht="15.75" customHeight="1" x14ac:dyDescent="0.2">
      <c r="AE362" s="1"/>
      <c r="AF362" s="1"/>
      <c r="AG362" s="1"/>
    </row>
    <row r="363" spans="31:33" ht="15.75" customHeight="1" x14ac:dyDescent="0.2">
      <c r="AE363" s="1"/>
      <c r="AF363" s="1"/>
      <c r="AG363" s="1"/>
    </row>
    <row r="364" spans="31:33" ht="15.75" customHeight="1" x14ac:dyDescent="0.2">
      <c r="AE364" s="1"/>
      <c r="AF364" s="1"/>
      <c r="AG364" s="1"/>
    </row>
    <row r="365" spans="31:33" ht="15.75" customHeight="1" x14ac:dyDescent="0.2">
      <c r="AE365" s="1"/>
      <c r="AF365" s="1"/>
      <c r="AG365" s="1"/>
    </row>
    <row r="366" spans="31:33" ht="15.75" customHeight="1" x14ac:dyDescent="0.2">
      <c r="AE366" s="1"/>
      <c r="AF366" s="1"/>
      <c r="AG366" s="1"/>
    </row>
    <row r="367" spans="31:33" ht="15.75" customHeight="1" x14ac:dyDescent="0.2">
      <c r="AE367" s="1"/>
      <c r="AF367" s="1"/>
      <c r="AG367" s="1"/>
    </row>
    <row r="368" spans="31:33" ht="15.75" customHeight="1" x14ac:dyDescent="0.2">
      <c r="AE368" s="1"/>
      <c r="AF368" s="1"/>
      <c r="AG368" s="1"/>
    </row>
    <row r="369" spans="31:33" ht="15.75" customHeight="1" x14ac:dyDescent="0.2">
      <c r="AE369" s="1"/>
      <c r="AF369" s="1"/>
      <c r="AG369" s="1"/>
    </row>
    <row r="370" spans="31:33" ht="15.75" customHeight="1" x14ac:dyDescent="0.2">
      <c r="AE370" s="1"/>
      <c r="AF370" s="1"/>
      <c r="AG370" s="1"/>
    </row>
    <row r="371" spans="31:33" ht="15.75" customHeight="1" x14ac:dyDescent="0.2">
      <c r="AE371" s="1"/>
      <c r="AF371" s="1"/>
      <c r="AG371" s="1"/>
    </row>
    <row r="372" spans="31:33" ht="15.75" customHeight="1" x14ac:dyDescent="0.2">
      <c r="AE372" s="1"/>
      <c r="AF372" s="1"/>
      <c r="AG372" s="1"/>
    </row>
    <row r="373" spans="31:33" ht="15.75" customHeight="1" x14ac:dyDescent="0.2">
      <c r="AE373" s="1"/>
      <c r="AF373" s="1"/>
      <c r="AG373" s="1"/>
    </row>
    <row r="374" spans="31:33" ht="15.75" customHeight="1" x14ac:dyDescent="0.2">
      <c r="AE374" s="1"/>
      <c r="AF374" s="1"/>
      <c r="AG374" s="1"/>
    </row>
    <row r="375" spans="31:33" ht="15.75" customHeight="1" x14ac:dyDescent="0.2">
      <c r="AE375" s="1"/>
      <c r="AF375" s="1"/>
      <c r="AG375" s="1"/>
    </row>
    <row r="376" spans="31:33" ht="15.75" customHeight="1" x14ac:dyDescent="0.2">
      <c r="AE376" s="1"/>
      <c r="AF376" s="1"/>
      <c r="AG376" s="1"/>
    </row>
    <row r="377" spans="31:33" ht="15.75" customHeight="1" x14ac:dyDescent="0.2">
      <c r="AE377" s="1"/>
      <c r="AF377" s="1"/>
      <c r="AG377" s="1"/>
    </row>
    <row r="378" spans="31:33" ht="15.75" customHeight="1" x14ac:dyDescent="0.2">
      <c r="AE378" s="1"/>
      <c r="AF378" s="1"/>
      <c r="AG378" s="1"/>
    </row>
    <row r="379" spans="31:33" ht="15.75" customHeight="1" x14ac:dyDescent="0.2">
      <c r="AE379" s="1"/>
      <c r="AF379" s="1"/>
      <c r="AG379" s="1"/>
    </row>
    <row r="380" spans="31:33" ht="15.75" customHeight="1" x14ac:dyDescent="0.2">
      <c r="AE380" s="1"/>
      <c r="AF380" s="1"/>
      <c r="AG380" s="1"/>
    </row>
    <row r="381" spans="31:33" ht="15.75" customHeight="1" x14ac:dyDescent="0.2">
      <c r="AE381" s="1"/>
      <c r="AF381" s="1"/>
      <c r="AG381" s="1"/>
    </row>
    <row r="382" spans="31:33" ht="15.75" customHeight="1" x14ac:dyDescent="0.2">
      <c r="AE382" s="1"/>
      <c r="AF382" s="1"/>
      <c r="AG382" s="1"/>
    </row>
    <row r="383" spans="31:33" ht="15.75" customHeight="1" x14ac:dyDescent="0.2">
      <c r="AE383" s="1"/>
      <c r="AF383" s="1"/>
      <c r="AG383" s="1"/>
    </row>
    <row r="384" spans="31:33" ht="15.75" customHeight="1" x14ac:dyDescent="0.2">
      <c r="AE384" s="1"/>
      <c r="AF384" s="1"/>
      <c r="AG384" s="1"/>
    </row>
    <row r="385" spans="31:33" ht="15.75" customHeight="1" x14ac:dyDescent="0.2">
      <c r="AE385" s="1"/>
      <c r="AF385" s="1"/>
      <c r="AG385" s="1"/>
    </row>
    <row r="386" spans="31:33" ht="15.75" customHeight="1" x14ac:dyDescent="0.2">
      <c r="AE386" s="1"/>
      <c r="AF386" s="1"/>
      <c r="AG386" s="1"/>
    </row>
    <row r="387" spans="31:33" ht="15.75" customHeight="1" x14ac:dyDescent="0.2">
      <c r="AE387" s="1"/>
      <c r="AF387" s="1"/>
      <c r="AG387" s="1"/>
    </row>
    <row r="388" spans="31:33" ht="15.75" customHeight="1" x14ac:dyDescent="0.2">
      <c r="AE388" s="1"/>
      <c r="AF388" s="1"/>
      <c r="AG388" s="1"/>
    </row>
    <row r="389" spans="31:33" ht="15.75" customHeight="1" x14ac:dyDescent="0.2">
      <c r="AE389" s="1"/>
      <c r="AF389" s="1"/>
      <c r="AG389" s="1"/>
    </row>
    <row r="390" spans="31:33" ht="15.75" customHeight="1" x14ac:dyDescent="0.2">
      <c r="AE390" s="1"/>
      <c r="AF390" s="1"/>
      <c r="AG390" s="1"/>
    </row>
    <row r="391" spans="31:33" ht="15.75" customHeight="1" x14ac:dyDescent="0.2">
      <c r="AE391" s="1"/>
      <c r="AF391" s="1"/>
      <c r="AG391" s="1"/>
    </row>
    <row r="392" spans="31:33" ht="15.75" customHeight="1" x14ac:dyDescent="0.2">
      <c r="AE392" s="1"/>
      <c r="AF392" s="1"/>
      <c r="AG392" s="1"/>
    </row>
    <row r="393" spans="31:33" ht="15.75" customHeight="1" x14ac:dyDescent="0.2">
      <c r="AE393" s="1"/>
      <c r="AF393" s="1"/>
      <c r="AG393" s="1"/>
    </row>
    <row r="394" spans="31:33" ht="15.75" customHeight="1" x14ac:dyDescent="0.2">
      <c r="AE394" s="1"/>
      <c r="AF394" s="1"/>
      <c r="AG394" s="1"/>
    </row>
    <row r="395" spans="31:33" ht="15.75" customHeight="1" x14ac:dyDescent="0.2">
      <c r="AE395" s="1"/>
      <c r="AF395" s="1"/>
      <c r="AG395" s="1"/>
    </row>
    <row r="396" spans="31:33" ht="15.75" customHeight="1" x14ac:dyDescent="0.2">
      <c r="AE396" s="1"/>
      <c r="AF396" s="1"/>
      <c r="AG396" s="1"/>
    </row>
    <row r="397" spans="31:33" ht="15.75" customHeight="1" x14ac:dyDescent="0.2">
      <c r="AE397" s="1"/>
      <c r="AF397" s="1"/>
      <c r="AG397" s="1"/>
    </row>
    <row r="398" spans="31:33" ht="15.75" customHeight="1" x14ac:dyDescent="0.2">
      <c r="AE398" s="1"/>
      <c r="AF398" s="1"/>
      <c r="AG398" s="1"/>
    </row>
    <row r="399" spans="31:33" ht="15.75" customHeight="1" x14ac:dyDescent="0.2">
      <c r="AE399" s="1"/>
      <c r="AF399" s="1"/>
      <c r="AG399" s="1"/>
    </row>
    <row r="400" spans="31:33" ht="15.75" customHeight="1" x14ac:dyDescent="0.2">
      <c r="AE400" s="1"/>
      <c r="AF400" s="1"/>
      <c r="AG400" s="1"/>
    </row>
    <row r="401" spans="31:33" ht="15.75" customHeight="1" x14ac:dyDescent="0.2">
      <c r="AE401" s="1"/>
      <c r="AF401" s="1"/>
      <c r="AG401" s="1"/>
    </row>
    <row r="402" spans="31:33" ht="15.75" customHeight="1" x14ac:dyDescent="0.2">
      <c r="AE402" s="1"/>
      <c r="AF402" s="1"/>
      <c r="AG402" s="1"/>
    </row>
    <row r="403" spans="31:33" ht="15.75" customHeight="1" x14ac:dyDescent="0.2">
      <c r="AE403" s="1"/>
      <c r="AF403" s="1"/>
      <c r="AG403" s="1"/>
    </row>
    <row r="404" spans="31:33" ht="15.75" customHeight="1" x14ac:dyDescent="0.2">
      <c r="AE404" s="1"/>
      <c r="AF404" s="1"/>
      <c r="AG404" s="1"/>
    </row>
    <row r="405" spans="31:33" ht="15.75" customHeight="1" x14ac:dyDescent="0.2">
      <c r="AE405" s="1"/>
      <c r="AF405" s="1"/>
      <c r="AG405" s="1"/>
    </row>
    <row r="406" spans="31:33" ht="15.75" customHeight="1" x14ac:dyDescent="0.2">
      <c r="AE406" s="1"/>
      <c r="AF406" s="1"/>
      <c r="AG406" s="1"/>
    </row>
    <row r="407" spans="31:33" ht="15.75" customHeight="1" x14ac:dyDescent="0.2">
      <c r="AE407" s="1"/>
      <c r="AF407" s="1"/>
      <c r="AG407" s="1"/>
    </row>
    <row r="408" spans="31:33" ht="15.75" customHeight="1" x14ac:dyDescent="0.2">
      <c r="AE408" s="1"/>
      <c r="AF408" s="1"/>
      <c r="AG408" s="1"/>
    </row>
    <row r="409" spans="31:33" ht="15.75" customHeight="1" x14ac:dyDescent="0.2">
      <c r="AE409" s="1"/>
      <c r="AF409" s="1"/>
      <c r="AG409" s="1"/>
    </row>
    <row r="410" spans="31:33" ht="15.75" customHeight="1" x14ac:dyDescent="0.2">
      <c r="AE410" s="1"/>
      <c r="AF410" s="1"/>
      <c r="AG410" s="1"/>
    </row>
    <row r="411" spans="31:33" ht="15.75" customHeight="1" x14ac:dyDescent="0.2">
      <c r="AE411" s="1"/>
      <c r="AF411" s="1"/>
      <c r="AG411" s="1"/>
    </row>
    <row r="412" spans="31:33" ht="15.75" customHeight="1" x14ac:dyDescent="0.2">
      <c r="AE412" s="1"/>
      <c r="AF412" s="1"/>
      <c r="AG412" s="1"/>
    </row>
    <row r="413" spans="31:33" ht="15.75" customHeight="1" x14ac:dyDescent="0.2">
      <c r="AE413" s="1"/>
      <c r="AF413" s="1"/>
      <c r="AG413" s="1"/>
    </row>
    <row r="414" spans="31:33" ht="15.75" customHeight="1" x14ac:dyDescent="0.2">
      <c r="AE414" s="1"/>
      <c r="AF414" s="1"/>
      <c r="AG414" s="1"/>
    </row>
    <row r="415" spans="31:33" ht="15.75" customHeight="1" x14ac:dyDescent="0.2">
      <c r="AE415" s="1"/>
      <c r="AF415" s="1"/>
      <c r="AG415" s="1"/>
    </row>
    <row r="416" spans="31:33" ht="15.75" customHeight="1" x14ac:dyDescent="0.2">
      <c r="AE416" s="1"/>
      <c r="AF416" s="1"/>
      <c r="AG416" s="1"/>
    </row>
    <row r="417" spans="31:33" ht="15.75" customHeight="1" x14ac:dyDescent="0.2">
      <c r="AE417" s="1"/>
      <c r="AF417" s="1"/>
      <c r="AG417" s="1"/>
    </row>
    <row r="418" spans="31:33" ht="15.75" customHeight="1" x14ac:dyDescent="0.2">
      <c r="AE418" s="1"/>
      <c r="AF418" s="1"/>
      <c r="AG418" s="1"/>
    </row>
    <row r="419" spans="31:33" ht="15.75" customHeight="1" x14ac:dyDescent="0.2">
      <c r="AE419" s="1"/>
      <c r="AF419" s="1"/>
      <c r="AG419" s="1"/>
    </row>
    <row r="420" spans="31:33" ht="15.75" customHeight="1" x14ac:dyDescent="0.2">
      <c r="AE420" s="1"/>
      <c r="AF420" s="1"/>
      <c r="AG420" s="1"/>
    </row>
    <row r="421" spans="31:33" ht="15.75" customHeight="1" x14ac:dyDescent="0.2">
      <c r="AE421" s="1"/>
      <c r="AF421" s="1"/>
      <c r="AG421" s="1"/>
    </row>
    <row r="422" spans="31:33" ht="15.75" customHeight="1" x14ac:dyDescent="0.2">
      <c r="AE422" s="1"/>
      <c r="AF422" s="1"/>
      <c r="AG422" s="1"/>
    </row>
    <row r="423" spans="31:33" ht="15.75" customHeight="1" x14ac:dyDescent="0.2">
      <c r="AE423" s="1"/>
      <c r="AF423" s="1"/>
      <c r="AG423" s="1"/>
    </row>
    <row r="424" spans="31:33" ht="15.75" customHeight="1" x14ac:dyDescent="0.2">
      <c r="AE424" s="1"/>
      <c r="AF424" s="1"/>
      <c r="AG424" s="1"/>
    </row>
    <row r="425" spans="31:33" ht="15.75" customHeight="1" x14ac:dyDescent="0.2">
      <c r="AE425" s="1"/>
      <c r="AF425" s="1"/>
      <c r="AG425" s="1"/>
    </row>
    <row r="426" spans="31:33" ht="15.75" customHeight="1" x14ac:dyDescent="0.2">
      <c r="AE426" s="1"/>
      <c r="AF426" s="1"/>
      <c r="AG426" s="1"/>
    </row>
    <row r="427" spans="31:33" ht="15.75" customHeight="1" x14ac:dyDescent="0.2">
      <c r="AE427" s="1"/>
      <c r="AF427" s="1"/>
      <c r="AG427" s="1"/>
    </row>
    <row r="428" spans="31:33" ht="15.75" customHeight="1" x14ac:dyDescent="0.2">
      <c r="AE428" s="1"/>
      <c r="AF428" s="1"/>
      <c r="AG428" s="1"/>
    </row>
    <row r="429" spans="31:33" ht="15.75" customHeight="1" x14ac:dyDescent="0.2">
      <c r="AE429" s="1"/>
      <c r="AF429" s="1"/>
      <c r="AG429" s="1"/>
    </row>
    <row r="430" spans="31:33" ht="15.75" customHeight="1" x14ac:dyDescent="0.2">
      <c r="AE430" s="1"/>
      <c r="AF430" s="1"/>
      <c r="AG430" s="1"/>
    </row>
    <row r="431" spans="31:33" ht="15.75" customHeight="1" x14ac:dyDescent="0.2">
      <c r="AE431" s="1"/>
      <c r="AF431" s="1"/>
      <c r="AG431" s="1"/>
    </row>
    <row r="432" spans="31:33" ht="15.75" customHeight="1" x14ac:dyDescent="0.2">
      <c r="AE432" s="1"/>
      <c r="AF432" s="1"/>
      <c r="AG432" s="1"/>
    </row>
    <row r="433" spans="31:33" ht="15.75" customHeight="1" x14ac:dyDescent="0.2">
      <c r="AE433" s="1"/>
      <c r="AF433" s="1"/>
      <c r="AG433" s="1"/>
    </row>
    <row r="434" spans="31:33" ht="15.75" customHeight="1" x14ac:dyDescent="0.2">
      <c r="AE434" s="1"/>
      <c r="AF434" s="1"/>
      <c r="AG434" s="1"/>
    </row>
    <row r="435" spans="31:33" ht="15.75" customHeight="1" x14ac:dyDescent="0.2">
      <c r="AE435" s="1"/>
      <c r="AF435" s="1"/>
      <c r="AG435" s="1"/>
    </row>
    <row r="436" spans="31:33" ht="15.75" customHeight="1" x14ac:dyDescent="0.2">
      <c r="AE436" s="1"/>
      <c r="AF436" s="1"/>
      <c r="AG436" s="1"/>
    </row>
    <row r="437" spans="31:33" ht="15.75" customHeight="1" x14ac:dyDescent="0.2">
      <c r="AE437" s="1"/>
      <c r="AF437" s="1"/>
      <c r="AG437" s="1"/>
    </row>
    <row r="438" spans="31:33" ht="15.75" customHeight="1" x14ac:dyDescent="0.2">
      <c r="AE438" s="1"/>
      <c r="AF438" s="1"/>
      <c r="AG438" s="1"/>
    </row>
    <row r="439" spans="31:33" ht="15.75" customHeight="1" x14ac:dyDescent="0.2">
      <c r="AE439" s="1"/>
      <c r="AF439" s="1"/>
      <c r="AG439" s="1"/>
    </row>
    <row r="440" spans="31:33" ht="15.75" customHeight="1" x14ac:dyDescent="0.2">
      <c r="AE440" s="1"/>
      <c r="AF440" s="1"/>
      <c r="AG440" s="1"/>
    </row>
    <row r="441" spans="31:33" ht="15.75" customHeight="1" x14ac:dyDescent="0.2">
      <c r="AE441" s="1"/>
      <c r="AF441" s="1"/>
      <c r="AG441" s="1"/>
    </row>
    <row r="442" spans="31:33" ht="15.75" customHeight="1" x14ac:dyDescent="0.2">
      <c r="AE442" s="1"/>
      <c r="AF442" s="1"/>
      <c r="AG442" s="1"/>
    </row>
    <row r="443" spans="31:33" ht="15.75" customHeight="1" x14ac:dyDescent="0.2">
      <c r="AE443" s="1"/>
      <c r="AF443" s="1"/>
      <c r="AG443" s="1"/>
    </row>
    <row r="444" spans="31:33" ht="15.75" customHeight="1" x14ac:dyDescent="0.2">
      <c r="AE444" s="1"/>
      <c r="AF444" s="1"/>
      <c r="AG444" s="1"/>
    </row>
    <row r="445" spans="31:33" ht="15.75" customHeight="1" x14ac:dyDescent="0.2">
      <c r="AE445" s="1"/>
      <c r="AF445" s="1"/>
      <c r="AG445" s="1"/>
    </row>
    <row r="446" spans="31:33" ht="15.75" customHeight="1" x14ac:dyDescent="0.2">
      <c r="AE446" s="1"/>
      <c r="AF446" s="1"/>
      <c r="AG446" s="1"/>
    </row>
    <row r="447" spans="31:33" ht="15.75" customHeight="1" x14ac:dyDescent="0.2">
      <c r="AE447" s="1"/>
      <c r="AF447" s="1"/>
      <c r="AG447" s="1"/>
    </row>
    <row r="448" spans="31:33" ht="15.75" customHeight="1" x14ac:dyDescent="0.2">
      <c r="AE448" s="1"/>
      <c r="AF448" s="1"/>
      <c r="AG448" s="1"/>
    </row>
    <row r="449" spans="31:33" ht="15.75" customHeight="1" x14ac:dyDescent="0.2">
      <c r="AE449" s="1"/>
      <c r="AF449" s="1"/>
      <c r="AG449" s="1"/>
    </row>
    <row r="450" spans="31:33" ht="15.75" customHeight="1" x14ac:dyDescent="0.2">
      <c r="AE450" s="1"/>
      <c r="AF450" s="1"/>
      <c r="AG450" s="1"/>
    </row>
    <row r="451" spans="31:33" ht="15.75" customHeight="1" x14ac:dyDescent="0.2">
      <c r="AE451" s="1"/>
      <c r="AF451" s="1"/>
      <c r="AG451" s="1"/>
    </row>
    <row r="452" spans="31:33" ht="15.75" customHeight="1" x14ac:dyDescent="0.2">
      <c r="AE452" s="1"/>
      <c r="AF452" s="1"/>
      <c r="AG452" s="1"/>
    </row>
    <row r="453" spans="31:33" ht="15.75" customHeight="1" x14ac:dyDescent="0.2">
      <c r="AE453" s="1"/>
      <c r="AF453" s="1"/>
      <c r="AG453" s="1"/>
    </row>
    <row r="454" spans="31:33" ht="15.75" customHeight="1" x14ac:dyDescent="0.2">
      <c r="AE454" s="1"/>
      <c r="AF454" s="1"/>
      <c r="AG454" s="1"/>
    </row>
    <row r="455" spans="31:33" ht="15.75" customHeight="1" x14ac:dyDescent="0.2">
      <c r="AE455" s="1"/>
      <c r="AF455" s="1"/>
      <c r="AG455" s="1"/>
    </row>
    <row r="456" spans="31:33" ht="15.75" customHeight="1" x14ac:dyDescent="0.2">
      <c r="AE456" s="1"/>
      <c r="AF456" s="1"/>
      <c r="AG456" s="1"/>
    </row>
    <row r="457" spans="31:33" ht="15.75" customHeight="1" x14ac:dyDescent="0.2">
      <c r="AE457" s="1"/>
      <c r="AF457" s="1"/>
      <c r="AG457" s="1"/>
    </row>
    <row r="458" spans="31:33" ht="15.75" customHeight="1" x14ac:dyDescent="0.2">
      <c r="AE458" s="1"/>
      <c r="AF458" s="1"/>
      <c r="AG458" s="1"/>
    </row>
    <row r="459" spans="31:33" ht="15.75" customHeight="1" x14ac:dyDescent="0.2">
      <c r="AE459" s="1"/>
      <c r="AF459" s="1"/>
      <c r="AG459" s="1"/>
    </row>
    <row r="460" spans="31:33" ht="15.75" customHeight="1" x14ac:dyDescent="0.2">
      <c r="AE460" s="1"/>
      <c r="AF460" s="1"/>
      <c r="AG460" s="1"/>
    </row>
    <row r="461" spans="31:33" ht="15.75" customHeight="1" x14ac:dyDescent="0.2">
      <c r="AE461" s="1"/>
      <c r="AF461" s="1"/>
      <c r="AG461" s="1"/>
    </row>
    <row r="462" spans="31:33" ht="15.75" customHeight="1" x14ac:dyDescent="0.2">
      <c r="AE462" s="1"/>
      <c r="AF462" s="1"/>
      <c r="AG462" s="1"/>
    </row>
    <row r="463" spans="31:33" ht="15.75" customHeight="1" x14ac:dyDescent="0.2">
      <c r="AE463" s="1"/>
      <c r="AF463" s="1"/>
      <c r="AG463" s="1"/>
    </row>
    <row r="464" spans="31:33" ht="15.75" customHeight="1" x14ac:dyDescent="0.2">
      <c r="AE464" s="1"/>
      <c r="AF464" s="1"/>
      <c r="AG464" s="1"/>
    </row>
    <row r="465" spans="31:33" ht="15.75" customHeight="1" x14ac:dyDescent="0.2">
      <c r="AE465" s="1"/>
      <c r="AF465" s="1"/>
      <c r="AG465" s="1"/>
    </row>
    <row r="466" spans="31:33" ht="15.75" customHeight="1" x14ac:dyDescent="0.2">
      <c r="AE466" s="1"/>
      <c r="AF466" s="1"/>
      <c r="AG466" s="1"/>
    </row>
    <row r="467" spans="31:33" ht="15.75" customHeight="1" x14ac:dyDescent="0.2">
      <c r="AE467" s="1"/>
      <c r="AF467" s="1"/>
      <c r="AG467" s="1"/>
    </row>
    <row r="468" spans="31:33" ht="15.75" customHeight="1" x14ac:dyDescent="0.2">
      <c r="AE468" s="1"/>
      <c r="AF468" s="1"/>
      <c r="AG468" s="1"/>
    </row>
    <row r="469" spans="31:33" ht="15.75" customHeight="1" x14ac:dyDescent="0.2">
      <c r="AE469" s="1"/>
      <c r="AF469" s="1"/>
      <c r="AG469" s="1"/>
    </row>
    <row r="470" spans="31:33" ht="15.75" customHeight="1" x14ac:dyDescent="0.2">
      <c r="AE470" s="1"/>
      <c r="AF470" s="1"/>
      <c r="AG470" s="1"/>
    </row>
    <row r="471" spans="31:33" ht="15.75" customHeight="1" x14ac:dyDescent="0.2">
      <c r="AE471" s="1"/>
      <c r="AF471" s="1"/>
      <c r="AG471" s="1"/>
    </row>
    <row r="472" spans="31:33" ht="15.75" customHeight="1" x14ac:dyDescent="0.2">
      <c r="AE472" s="1"/>
      <c r="AF472" s="1"/>
      <c r="AG472" s="1"/>
    </row>
    <row r="473" spans="31:33" ht="15.75" customHeight="1" x14ac:dyDescent="0.2">
      <c r="AE473" s="1"/>
      <c r="AF473" s="1"/>
      <c r="AG473" s="1"/>
    </row>
    <row r="474" spans="31:33" ht="15.75" customHeight="1" x14ac:dyDescent="0.2">
      <c r="AE474" s="1"/>
      <c r="AF474" s="1"/>
      <c r="AG474" s="1"/>
    </row>
    <row r="475" spans="31:33" ht="15.75" customHeight="1" x14ac:dyDescent="0.2">
      <c r="AE475" s="1"/>
      <c r="AF475" s="1"/>
      <c r="AG475" s="1"/>
    </row>
    <row r="476" spans="31:33" ht="15.75" customHeight="1" x14ac:dyDescent="0.2">
      <c r="AE476" s="1"/>
      <c r="AF476" s="1"/>
      <c r="AG476" s="1"/>
    </row>
    <row r="477" spans="31:33" ht="15.75" customHeight="1" x14ac:dyDescent="0.2">
      <c r="AE477" s="1"/>
      <c r="AF477" s="1"/>
      <c r="AG477" s="1"/>
    </row>
    <row r="478" spans="31:33" ht="15.75" customHeight="1" x14ac:dyDescent="0.2">
      <c r="AE478" s="1"/>
      <c r="AF478" s="1"/>
      <c r="AG478" s="1"/>
    </row>
    <row r="479" spans="31:33" ht="15.75" customHeight="1" x14ac:dyDescent="0.2">
      <c r="AE479" s="1"/>
      <c r="AF479" s="1"/>
      <c r="AG479" s="1"/>
    </row>
    <row r="480" spans="31:33" ht="15.75" customHeight="1" x14ac:dyDescent="0.2">
      <c r="AE480" s="1"/>
      <c r="AF480" s="1"/>
      <c r="AG480" s="1"/>
    </row>
    <row r="481" spans="31:33" ht="15.75" customHeight="1" x14ac:dyDescent="0.2">
      <c r="AE481" s="1"/>
      <c r="AF481" s="1"/>
      <c r="AG481" s="1"/>
    </row>
    <row r="482" spans="31:33" ht="15.75" customHeight="1" x14ac:dyDescent="0.2">
      <c r="AE482" s="1"/>
      <c r="AF482" s="1"/>
      <c r="AG482" s="1"/>
    </row>
    <row r="483" spans="31:33" ht="15.75" customHeight="1" x14ac:dyDescent="0.2">
      <c r="AE483" s="1"/>
      <c r="AF483" s="1"/>
      <c r="AG483" s="1"/>
    </row>
    <row r="484" spans="31:33" ht="15.75" customHeight="1" x14ac:dyDescent="0.2">
      <c r="AE484" s="1"/>
      <c r="AF484" s="1"/>
      <c r="AG484" s="1"/>
    </row>
    <row r="485" spans="31:33" ht="15.75" customHeight="1" x14ac:dyDescent="0.2">
      <c r="AE485" s="1"/>
      <c r="AF485" s="1"/>
      <c r="AG485" s="1"/>
    </row>
    <row r="486" spans="31:33" ht="15.75" customHeight="1" x14ac:dyDescent="0.2">
      <c r="AE486" s="1"/>
      <c r="AF486" s="1"/>
      <c r="AG486" s="1"/>
    </row>
    <row r="487" spans="31:33" ht="15.75" customHeight="1" x14ac:dyDescent="0.2">
      <c r="AE487" s="1"/>
      <c r="AF487" s="1"/>
      <c r="AG487" s="1"/>
    </row>
    <row r="488" spans="31:33" ht="15.75" customHeight="1" x14ac:dyDescent="0.2">
      <c r="AE488" s="1"/>
      <c r="AF488" s="1"/>
      <c r="AG488" s="1"/>
    </row>
    <row r="489" spans="31:33" ht="15.75" customHeight="1" x14ac:dyDescent="0.2">
      <c r="AE489" s="1"/>
      <c r="AF489" s="1"/>
      <c r="AG489" s="1"/>
    </row>
    <row r="490" spans="31:33" ht="15.75" customHeight="1" x14ac:dyDescent="0.2">
      <c r="AE490" s="1"/>
      <c r="AF490" s="1"/>
      <c r="AG490" s="1"/>
    </row>
    <row r="491" spans="31:33" ht="15.75" customHeight="1" x14ac:dyDescent="0.2">
      <c r="AE491" s="1"/>
      <c r="AF491" s="1"/>
      <c r="AG491" s="1"/>
    </row>
    <row r="492" spans="31:33" ht="15.75" customHeight="1" x14ac:dyDescent="0.2">
      <c r="AE492" s="1"/>
      <c r="AF492" s="1"/>
      <c r="AG492" s="1"/>
    </row>
    <row r="493" spans="31:33" ht="15.75" customHeight="1" x14ac:dyDescent="0.2">
      <c r="AE493" s="1"/>
      <c r="AF493" s="1"/>
      <c r="AG493" s="1"/>
    </row>
    <row r="494" spans="31:33" ht="15.75" customHeight="1" x14ac:dyDescent="0.2">
      <c r="AE494" s="1"/>
      <c r="AF494" s="1"/>
      <c r="AG494" s="1"/>
    </row>
    <row r="495" spans="31:33" ht="15.75" customHeight="1" x14ac:dyDescent="0.2">
      <c r="AE495" s="1"/>
      <c r="AF495" s="1"/>
      <c r="AG495" s="1"/>
    </row>
    <row r="496" spans="31:33" ht="15.75" customHeight="1" x14ac:dyDescent="0.2">
      <c r="AE496" s="1"/>
      <c r="AF496" s="1"/>
      <c r="AG496" s="1"/>
    </row>
    <row r="497" spans="31:33" ht="15.75" customHeight="1" x14ac:dyDescent="0.2">
      <c r="AE497" s="1"/>
      <c r="AF497" s="1"/>
      <c r="AG497" s="1"/>
    </row>
    <row r="498" spans="31:33" ht="15.75" customHeight="1" x14ac:dyDescent="0.2">
      <c r="AE498" s="1"/>
      <c r="AF498" s="1"/>
      <c r="AG498" s="1"/>
    </row>
    <row r="499" spans="31:33" ht="15.75" customHeight="1" x14ac:dyDescent="0.2">
      <c r="AE499" s="1"/>
      <c r="AF499" s="1"/>
      <c r="AG499" s="1"/>
    </row>
    <row r="500" spans="31:33" ht="15.75" customHeight="1" x14ac:dyDescent="0.2">
      <c r="AE500" s="1"/>
      <c r="AF500" s="1"/>
      <c r="AG500" s="1"/>
    </row>
    <row r="501" spans="31:33" ht="15.75" customHeight="1" x14ac:dyDescent="0.2">
      <c r="AE501" s="1"/>
      <c r="AF501" s="1"/>
      <c r="AG501" s="1"/>
    </row>
    <row r="502" spans="31:33" ht="15.75" customHeight="1" x14ac:dyDescent="0.2">
      <c r="AE502" s="1"/>
      <c r="AF502" s="1"/>
      <c r="AG502" s="1"/>
    </row>
    <row r="503" spans="31:33" ht="15.75" customHeight="1" x14ac:dyDescent="0.2">
      <c r="AE503" s="1"/>
      <c r="AF503" s="1"/>
      <c r="AG503" s="1"/>
    </row>
    <row r="504" spans="31:33" ht="15.75" customHeight="1" x14ac:dyDescent="0.2">
      <c r="AE504" s="1"/>
      <c r="AF504" s="1"/>
      <c r="AG504" s="1"/>
    </row>
    <row r="505" spans="31:33" ht="15.75" customHeight="1" x14ac:dyDescent="0.2">
      <c r="AE505" s="1"/>
      <c r="AF505" s="1"/>
      <c r="AG505" s="1"/>
    </row>
    <row r="506" spans="31:33" ht="15.75" customHeight="1" x14ac:dyDescent="0.2">
      <c r="AE506" s="1"/>
      <c r="AF506" s="1"/>
      <c r="AG506" s="1"/>
    </row>
    <row r="507" spans="31:33" ht="15.75" customHeight="1" x14ac:dyDescent="0.2">
      <c r="AE507" s="1"/>
      <c r="AF507" s="1"/>
      <c r="AG507" s="1"/>
    </row>
    <row r="508" spans="31:33" ht="15.75" customHeight="1" x14ac:dyDescent="0.2">
      <c r="AE508" s="1"/>
      <c r="AF508" s="1"/>
      <c r="AG508" s="1"/>
    </row>
    <row r="509" spans="31:33" ht="15.75" customHeight="1" x14ac:dyDescent="0.2">
      <c r="AE509" s="1"/>
      <c r="AF509" s="1"/>
      <c r="AG509" s="1"/>
    </row>
    <row r="510" spans="31:33" ht="15.75" customHeight="1" x14ac:dyDescent="0.2">
      <c r="AE510" s="1"/>
      <c r="AF510" s="1"/>
      <c r="AG510" s="1"/>
    </row>
    <row r="511" spans="31:33" ht="15.75" customHeight="1" x14ac:dyDescent="0.2">
      <c r="AE511" s="1"/>
      <c r="AF511" s="1"/>
      <c r="AG511" s="1"/>
    </row>
    <row r="512" spans="31:33" ht="15.75" customHeight="1" x14ac:dyDescent="0.2">
      <c r="AE512" s="1"/>
      <c r="AF512" s="1"/>
      <c r="AG512" s="1"/>
    </row>
    <row r="513" spans="31:33" ht="15.75" customHeight="1" x14ac:dyDescent="0.2">
      <c r="AE513" s="1"/>
      <c r="AF513" s="1"/>
      <c r="AG513" s="1"/>
    </row>
    <row r="514" spans="31:33" ht="15.75" customHeight="1" x14ac:dyDescent="0.2">
      <c r="AE514" s="1"/>
      <c r="AF514" s="1"/>
      <c r="AG514" s="1"/>
    </row>
    <row r="515" spans="31:33" ht="15.75" customHeight="1" x14ac:dyDescent="0.2">
      <c r="AE515" s="1"/>
      <c r="AF515" s="1"/>
      <c r="AG515" s="1"/>
    </row>
    <row r="516" spans="31:33" ht="15.75" customHeight="1" x14ac:dyDescent="0.2">
      <c r="AE516" s="1"/>
      <c r="AF516" s="1"/>
      <c r="AG516" s="1"/>
    </row>
    <row r="517" spans="31:33" ht="15.75" customHeight="1" x14ac:dyDescent="0.2">
      <c r="AE517" s="1"/>
      <c r="AF517" s="1"/>
      <c r="AG517" s="1"/>
    </row>
    <row r="518" spans="31:33" ht="15.75" customHeight="1" x14ac:dyDescent="0.2">
      <c r="AE518" s="1"/>
      <c r="AF518" s="1"/>
      <c r="AG518" s="1"/>
    </row>
    <row r="519" spans="31:33" ht="15.75" customHeight="1" x14ac:dyDescent="0.2">
      <c r="AE519" s="1"/>
      <c r="AF519" s="1"/>
      <c r="AG519" s="1"/>
    </row>
    <row r="520" spans="31:33" ht="15.75" customHeight="1" x14ac:dyDescent="0.2">
      <c r="AE520" s="1"/>
      <c r="AF520" s="1"/>
      <c r="AG520" s="1"/>
    </row>
    <row r="521" spans="31:33" ht="15.75" customHeight="1" x14ac:dyDescent="0.2">
      <c r="AE521" s="1"/>
      <c r="AF521" s="1"/>
      <c r="AG521" s="1"/>
    </row>
    <row r="522" spans="31:33" ht="15.75" customHeight="1" x14ac:dyDescent="0.2">
      <c r="AE522" s="1"/>
      <c r="AF522" s="1"/>
      <c r="AG522" s="1"/>
    </row>
    <row r="523" spans="31:33" ht="15.75" customHeight="1" x14ac:dyDescent="0.2">
      <c r="AE523" s="1"/>
      <c r="AF523" s="1"/>
      <c r="AG523" s="1"/>
    </row>
    <row r="524" spans="31:33" ht="15.75" customHeight="1" x14ac:dyDescent="0.2">
      <c r="AE524" s="1"/>
      <c r="AF524" s="1"/>
      <c r="AG524" s="1"/>
    </row>
    <row r="525" spans="31:33" ht="15.75" customHeight="1" x14ac:dyDescent="0.2">
      <c r="AE525" s="1"/>
      <c r="AF525" s="1"/>
      <c r="AG525" s="1"/>
    </row>
    <row r="526" spans="31:33" ht="15.75" customHeight="1" x14ac:dyDescent="0.2">
      <c r="AE526" s="1"/>
      <c r="AF526" s="1"/>
      <c r="AG526" s="1"/>
    </row>
    <row r="527" spans="31:33" ht="15.75" customHeight="1" x14ac:dyDescent="0.2">
      <c r="AE527" s="1"/>
      <c r="AF527" s="1"/>
      <c r="AG527" s="1"/>
    </row>
    <row r="528" spans="31:33" ht="15.75" customHeight="1" x14ac:dyDescent="0.2">
      <c r="AE528" s="1"/>
      <c r="AF528" s="1"/>
      <c r="AG528" s="1"/>
    </row>
    <row r="529" spans="31:33" ht="15.75" customHeight="1" x14ac:dyDescent="0.2">
      <c r="AE529" s="1"/>
      <c r="AF529" s="1"/>
      <c r="AG529" s="1"/>
    </row>
    <row r="530" spans="31:33" ht="15.75" customHeight="1" x14ac:dyDescent="0.2">
      <c r="AE530" s="1"/>
      <c r="AF530" s="1"/>
      <c r="AG530" s="1"/>
    </row>
    <row r="531" spans="31:33" ht="15.75" customHeight="1" x14ac:dyDescent="0.2">
      <c r="AE531" s="1"/>
      <c r="AF531" s="1"/>
      <c r="AG531" s="1"/>
    </row>
    <row r="532" spans="31:33" ht="15.75" customHeight="1" x14ac:dyDescent="0.2">
      <c r="AE532" s="1"/>
      <c r="AF532" s="1"/>
      <c r="AG532" s="1"/>
    </row>
    <row r="533" spans="31:33" ht="15.75" customHeight="1" x14ac:dyDescent="0.2">
      <c r="AE533" s="1"/>
      <c r="AF533" s="1"/>
      <c r="AG533" s="1"/>
    </row>
    <row r="534" spans="31:33" ht="15.75" customHeight="1" x14ac:dyDescent="0.2">
      <c r="AE534" s="1"/>
      <c r="AF534" s="1"/>
      <c r="AG534" s="1"/>
    </row>
    <row r="535" spans="31:33" ht="15.75" customHeight="1" x14ac:dyDescent="0.2">
      <c r="AE535" s="1"/>
      <c r="AF535" s="1"/>
      <c r="AG535" s="1"/>
    </row>
    <row r="536" spans="31:33" ht="15.75" customHeight="1" x14ac:dyDescent="0.2">
      <c r="AE536" s="1"/>
      <c r="AF536" s="1"/>
      <c r="AG536" s="1"/>
    </row>
    <row r="537" spans="31:33" ht="15.75" customHeight="1" x14ac:dyDescent="0.2">
      <c r="AE537" s="1"/>
      <c r="AF537" s="1"/>
      <c r="AG537" s="1"/>
    </row>
    <row r="538" spans="31:33" ht="15.75" customHeight="1" x14ac:dyDescent="0.2">
      <c r="AE538" s="1"/>
      <c r="AF538" s="1"/>
      <c r="AG538" s="1"/>
    </row>
    <row r="539" spans="31:33" ht="15.75" customHeight="1" x14ac:dyDescent="0.2">
      <c r="AE539" s="1"/>
      <c r="AF539" s="1"/>
      <c r="AG539" s="1"/>
    </row>
    <row r="540" spans="31:33" ht="15.75" customHeight="1" x14ac:dyDescent="0.2">
      <c r="AE540" s="1"/>
      <c r="AF540" s="1"/>
      <c r="AG540" s="1"/>
    </row>
    <row r="541" spans="31:33" ht="15.75" customHeight="1" x14ac:dyDescent="0.2">
      <c r="AE541" s="1"/>
      <c r="AF541" s="1"/>
      <c r="AG541" s="1"/>
    </row>
    <row r="542" spans="31:33" ht="15.75" customHeight="1" x14ac:dyDescent="0.2">
      <c r="AE542" s="1"/>
      <c r="AF542" s="1"/>
      <c r="AG542" s="1"/>
    </row>
    <row r="543" spans="31:33" ht="15.75" customHeight="1" x14ac:dyDescent="0.2">
      <c r="AE543" s="1"/>
      <c r="AF543" s="1"/>
      <c r="AG543" s="1"/>
    </row>
    <row r="544" spans="31:33" ht="15.75" customHeight="1" x14ac:dyDescent="0.2">
      <c r="AE544" s="1"/>
      <c r="AF544" s="1"/>
      <c r="AG544" s="1"/>
    </row>
    <row r="545" spans="31:33" ht="15.75" customHeight="1" x14ac:dyDescent="0.2">
      <c r="AE545" s="1"/>
      <c r="AF545" s="1"/>
      <c r="AG545" s="1"/>
    </row>
    <row r="546" spans="31:33" ht="15.75" customHeight="1" x14ac:dyDescent="0.2">
      <c r="AE546" s="1"/>
      <c r="AF546" s="1"/>
      <c r="AG546" s="1"/>
    </row>
    <row r="547" spans="31:33" ht="15.75" customHeight="1" x14ac:dyDescent="0.2">
      <c r="AE547" s="1"/>
      <c r="AF547" s="1"/>
      <c r="AG547" s="1"/>
    </row>
    <row r="548" spans="31:33" ht="15.75" customHeight="1" x14ac:dyDescent="0.2">
      <c r="AE548" s="1"/>
      <c r="AF548" s="1"/>
      <c r="AG548" s="1"/>
    </row>
    <row r="549" spans="31:33" ht="15.75" customHeight="1" x14ac:dyDescent="0.2">
      <c r="AE549" s="1"/>
      <c r="AF549" s="1"/>
      <c r="AG549" s="1"/>
    </row>
    <row r="550" spans="31:33" ht="15.75" customHeight="1" x14ac:dyDescent="0.2">
      <c r="AE550" s="1"/>
      <c r="AF550" s="1"/>
      <c r="AG550" s="1"/>
    </row>
    <row r="551" spans="31:33" ht="15.75" customHeight="1" x14ac:dyDescent="0.2">
      <c r="AE551" s="1"/>
      <c r="AF551" s="1"/>
      <c r="AG551" s="1"/>
    </row>
    <row r="552" spans="31:33" ht="15.75" customHeight="1" x14ac:dyDescent="0.2">
      <c r="AE552" s="1"/>
      <c r="AF552" s="1"/>
      <c r="AG552" s="1"/>
    </row>
    <row r="553" spans="31:33" ht="15.75" customHeight="1" x14ac:dyDescent="0.2">
      <c r="AE553" s="1"/>
      <c r="AF553" s="1"/>
      <c r="AG553" s="1"/>
    </row>
    <row r="554" spans="31:33" ht="15.75" customHeight="1" x14ac:dyDescent="0.2">
      <c r="AE554" s="1"/>
      <c r="AF554" s="1"/>
      <c r="AG554" s="1"/>
    </row>
    <row r="555" spans="31:33" ht="15.75" customHeight="1" x14ac:dyDescent="0.2">
      <c r="AE555" s="1"/>
      <c r="AF555" s="1"/>
      <c r="AG555" s="1"/>
    </row>
    <row r="556" spans="31:33" ht="15.75" customHeight="1" x14ac:dyDescent="0.2">
      <c r="AE556" s="1"/>
      <c r="AF556" s="1"/>
      <c r="AG556" s="1"/>
    </row>
    <row r="557" spans="31:33" ht="15.75" customHeight="1" x14ac:dyDescent="0.2">
      <c r="AE557" s="1"/>
      <c r="AF557" s="1"/>
      <c r="AG557" s="1"/>
    </row>
    <row r="558" spans="31:33" ht="15.75" customHeight="1" x14ac:dyDescent="0.2">
      <c r="AE558" s="1"/>
      <c r="AF558" s="1"/>
      <c r="AG558" s="1"/>
    </row>
    <row r="559" spans="31:33" ht="15.75" customHeight="1" x14ac:dyDescent="0.2">
      <c r="AE559" s="1"/>
      <c r="AF559" s="1"/>
      <c r="AG559" s="1"/>
    </row>
    <row r="560" spans="31:33" ht="15.75" customHeight="1" x14ac:dyDescent="0.2">
      <c r="AE560" s="1"/>
      <c r="AF560" s="1"/>
      <c r="AG560" s="1"/>
    </row>
    <row r="561" spans="31:33" ht="15.75" customHeight="1" x14ac:dyDescent="0.2">
      <c r="AE561" s="1"/>
      <c r="AF561" s="1"/>
      <c r="AG561" s="1"/>
    </row>
    <row r="562" spans="31:33" ht="15.75" customHeight="1" x14ac:dyDescent="0.2">
      <c r="AE562" s="1"/>
      <c r="AF562" s="1"/>
      <c r="AG562" s="1"/>
    </row>
    <row r="563" spans="31:33" ht="15.75" customHeight="1" x14ac:dyDescent="0.2">
      <c r="AE563" s="1"/>
      <c r="AF563" s="1"/>
      <c r="AG563" s="1"/>
    </row>
    <row r="564" spans="31:33" ht="15.75" customHeight="1" x14ac:dyDescent="0.2">
      <c r="AE564" s="1"/>
      <c r="AF564" s="1"/>
      <c r="AG564" s="1"/>
    </row>
    <row r="565" spans="31:33" ht="15.75" customHeight="1" x14ac:dyDescent="0.2">
      <c r="AE565" s="1"/>
      <c r="AF565" s="1"/>
      <c r="AG565" s="1"/>
    </row>
    <row r="566" spans="31:33" ht="15.75" customHeight="1" x14ac:dyDescent="0.2">
      <c r="AE566" s="1"/>
      <c r="AF566" s="1"/>
      <c r="AG566" s="1"/>
    </row>
    <row r="567" spans="31:33" ht="15.75" customHeight="1" x14ac:dyDescent="0.2">
      <c r="AE567" s="1"/>
      <c r="AF567" s="1"/>
      <c r="AG567" s="1"/>
    </row>
    <row r="568" spans="31:33" ht="15.75" customHeight="1" x14ac:dyDescent="0.2">
      <c r="AE568" s="1"/>
      <c r="AF568" s="1"/>
      <c r="AG568" s="1"/>
    </row>
    <row r="569" spans="31:33" ht="15.75" customHeight="1" x14ac:dyDescent="0.2">
      <c r="AE569" s="1"/>
      <c r="AF569" s="1"/>
      <c r="AG569" s="1"/>
    </row>
    <row r="570" spans="31:33" ht="15.75" customHeight="1" x14ac:dyDescent="0.2">
      <c r="AE570" s="1"/>
      <c r="AF570" s="1"/>
      <c r="AG570" s="1"/>
    </row>
    <row r="571" spans="31:33" ht="15.75" customHeight="1" x14ac:dyDescent="0.2">
      <c r="AE571" s="1"/>
      <c r="AF571" s="1"/>
      <c r="AG571" s="1"/>
    </row>
    <row r="572" spans="31:33" ht="15.75" customHeight="1" x14ac:dyDescent="0.2">
      <c r="AE572" s="1"/>
      <c r="AF572" s="1"/>
      <c r="AG572" s="1"/>
    </row>
    <row r="573" spans="31:33" ht="15.75" customHeight="1" x14ac:dyDescent="0.2">
      <c r="AE573" s="1"/>
      <c r="AF573" s="1"/>
      <c r="AG573" s="1"/>
    </row>
    <row r="574" spans="31:33" ht="15.75" customHeight="1" x14ac:dyDescent="0.2">
      <c r="AE574" s="1"/>
      <c r="AF574" s="1"/>
      <c r="AG574" s="1"/>
    </row>
    <row r="575" spans="31:33" ht="15.75" customHeight="1" x14ac:dyDescent="0.2">
      <c r="AE575" s="1"/>
      <c r="AF575" s="1"/>
      <c r="AG575" s="1"/>
    </row>
    <row r="576" spans="31:33" ht="15.75" customHeight="1" x14ac:dyDescent="0.2">
      <c r="AE576" s="1"/>
      <c r="AF576" s="1"/>
      <c r="AG576" s="1"/>
    </row>
    <row r="577" spans="31:33" ht="15.75" customHeight="1" x14ac:dyDescent="0.2">
      <c r="AE577" s="1"/>
      <c r="AF577" s="1"/>
      <c r="AG577" s="1"/>
    </row>
    <row r="578" spans="31:33" ht="15.75" customHeight="1" x14ac:dyDescent="0.2">
      <c r="AE578" s="1"/>
      <c r="AF578" s="1"/>
      <c r="AG578" s="1"/>
    </row>
    <row r="579" spans="31:33" ht="15.75" customHeight="1" x14ac:dyDescent="0.2">
      <c r="AE579" s="1"/>
      <c r="AF579" s="1"/>
      <c r="AG579" s="1"/>
    </row>
    <row r="580" spans="31:33" ht="15.75" customHeight="1" x14ac:dyDescent="0.2">
      <c r="AE580" s="1"/>
      <c r="AF580" s="1"/>
      <c r="AG580" s="1"/>
    </row>
    <row r="581" spans="31:33" ht="15.75" customHeight="1" x14ac:dyDescent="0.2">
      <c r="AE581" s="1"/>
      <c r="AF581" s="1"/>
      <c r="AG581" s="1"/>
    </row>
    <row r="582" spans="31:33" ht="15.75" customHeight="1" x14ac:dyDescent="0.2">
      <c r="AE582" s="1"/>
      <c r="AF582" s="1"/>
      <c r="AG582" s="1"/>
    </row>
    <row r="583" spans="31:33" ht="15.75" customHeight="1" x14ac:dyDescent="0.2">
      <c r="AE583" s="1"/>
      <c r="AF583" s="1"/>
      <c r="AG583" s="1"/>
    </row>
    <row r="584" spans="31:33" ht="15.75" customHeight="1" x14ac:dyDescent="0.2">
      <c r="AE584" s="1"/>
      <c r="AF584" s="1"/>
      <c r="AG584" s="1"/>
    </row>
    <row r="585" spans="31:33" ht="15.75" customHeight="1" x14ac:dyDescent="0.2">
      <c r="AE585" s="1"/>
      <c r="AF585" s="1"/>
      <c r="AG585" s="1"/>
    </row>
    <row r="586" spans="31:33" ht="15.75" customHeight="1" x14ac:dyDescent="0.2">
      <c r="AE586" s="1"/>
      <c r="AF586" s="1"/>
      <c r="AG586" s="1"/>
    </row>
    <row r="587" spans="31:33" ht="15.75" customHeight="1" x14ac:dyDescent="0.2">
      <c r="AE587" s="1"/>
      <c r="AF587" s="1"/>
      <c r="AG587" s="1"/>
    </row>
    <row r="588" spans="31:33" ht="15.75" customHeight="1" x14ac:dyDescent="0.2">
      <c r="AE588" s="1"/>
      <c r="AF588" s="1"/>
      <c r="AG588" s="1"/>
    </row>
    <row r="589" spans="31:33" ht="15.75" customHeight="1" x14ac:dyDescent="0.2">
      <c r="AE589" s="1"/>
      <c r="AF589" s="1"/>
      <c r="AG589" s="1"/>
    </row>
    <row r="590" spans="31:33" ht="15.75" customHeight="1" x14ac:dyDescent="0.2">
      <c r="AE590" s="1"/>
      <c r="AF590" s="1"/>
      <c r="AG590" s="1"/>
    </row>
    <row r="591" spans="31:33" ht="15.75" customHeight="1" x14ac:dyDescent="0.2">
      <c r="AE591" s="1"/>
      <c r="AF591" s="1"/>
      <c r="AG591" s="1"/>
    </row>
    <row r="592" spans="31:33" ht="15.75" customHeight="1" x14ac:dyDescent="0.2">
      <c r="AE592" s="1"/>
      <c r="AF592" s="1"/>
      <c r="AG592" s="1"/>
    </row>
    <row r="593" spans="31:33" ht="15.75" customHeight="1" x14ac:dyDescent="0.2">
      <c r="AE593" s="1"/>
      <c r="AF593" s="1"/>
      <c r="AG593" s="1"/>
    </row>
    <row r="594" spans="31:33" ht="15.75" customHeight="1" x14ac:dyDescent="0.2">
      <c r="AE594" s="1"/>
      <c r="AF594" s="1"/>
      <c r="AG594" s="1"/>
    </row>
    <row r="595" spans="31:33" ht="15.75" customHeight="1" x14ac:dyDescent="0.2">
      <c r="AE595" s="1"/>
      <c r="AF595" s="1"/>
      <c r="AG595" s="1"/>
    </row>
    <row r="596" spans="31:33" ht="15.75" customHeight="1" x14ac:dyDescent="0.2">
      <c r="AE596" s="1"/>
      <c r="AF596" s="1"/>
      <c r="AG596" s="1"/>
    </row>
    <row r="597" spans="31:33" ht="15.75" customHeight="1" x14ac:dyDescent="0.2">
      <c r="AE597" s="1"/>
      <c r="AF597" s="1"/>
      <c r="AG597" s="1"/>
    </row>
    <row r="598" spans="31:33" ht="15.75" customHeight="1" x14ac:dyDescent="0.2">
      <c r="AE598" s="1"/>
      <c r="AF598" s="1"/>
      <c r="AG598" s="1"/>
    </row>
    <row r="599" spans="31:33" ht="15.75" customHeight="1" x14ac:dyDescent="0.2">
      <c r="AE599" s="1"/>
      <c r="AF599" s="1"/>
      <c r="AG599" s="1"/>
    </row>
    <row r="600" spans="31:33" ht="15.75" customHeight="1" x14ac:dyDescent="0.2">
      <c r="AE600" s="1"/>
      <c r="AF600" s="1"/>
      <c r="AG600" s="1"/>
    </row>
    <row r="601" spans="31:33" ht="15.75" customHeight="1" x14ac:dyDescent="0.2">
      <c r="AE601" s="1"/>
      <c r="AF601" s="1"/>
      <c r="AG601" s="1"/>
    </row>
    <row r="602" spans="31:33" ht="15.75" customHeight="1" x14ac:dyDescent="0.2">
      <c r="AE602" s="1"/>
      <c r="AF602" s="1"/>
      <c r="AG602" s="1"/>
    </row>
    <row r="603" spans="31:33" ht="15.75" customHeight="1" x14ac:dyDescent="0.2">
      <c r="AE603" s="1"/>
      <c r="AF603" s="1"/>
      <c r="AG603" s="1"/>
    </row>
    <row r="604" spans="31:33" ht="15.75" customHeight="1" x14ac:dyDescent="0.2">
      <c r="AE604" s="1"/>
      <c r="AF604" s="1"/>
      <c r="AG604" s="1"/>
    </row>
    <row r="605" spans="31:33" ht="15.75" customHeight="1" x14ac:dyDescent="0.2">
      <c r="AE605" s="1"/>
      <c r="AF605" s="1"/>
      <c r="AG605" s="1"/>
    </row>
    <row r="606" spans="31:33" ht="15.75" customHeight="1" x14ac:dyDescent="0.2">
      <c r="AE606" s="1"/>
      <c r="AF606" s="1"/>
      <c r="AG606" s="1"/>
    </row>
    <row r="607" spans="31:33" ht="15.75" customHeight="1" x14ac:dyDescent="0.2">
      <c r="AE607" s="1"/>
      <c r="AF607" s="1"/>
      <c r="AG607" s="1"/>
    </row>
    <row r="608" spans="31:33" ht="15.75" customHeight="1" x14ac:dyDescent="0.2">
      <c r="AE608" s="1"/>
      <c r="AF608" s="1"/>
      <c r="AG608" s="1"/>
    </row>
    <row r="609" spans="31:33" ht="15.75" customHeight="1" x14ac:dyDescent="0.2">
      <c r="AE609" s="1"/>
      <c r="AF609" s="1"/>
      <c r="AG609" s="1"/>
    </row>
    <row r="610" spans="31:33" ht="15.75" customHeight="1" x14ac:dyDescent="0.2">
      <c r="AE610" s="1"/>
      <c r="AF610" s="1"/>
      <c r="AG610" s="1"/>
    </row>
    <row r="611" spans="31:33" ht="15.75" customHeight="1" x14ac:dyDescent="0.2">
      <c r="AE611" s="1"/>
      <c r="AF611" s="1"/>
      <c r="AG611" s="1"/>
    </row>
    <row r="612" spans="31:33" ht="15.75" customHeight="1" x14ac:dyDescent="0.2">
      <c r="AE612" s="1"/>
      <c r="AF612" s="1"/>
      <c r="AG612" s="1"/>
    </row>
    <row r="613" spans="31:33" ht="15.75" customHeight="1" x14ac:dyDescent="0.2">
      <c r="AE613" s="1"/>
      <c r="AF613" s="1"/>
      <c r="AG613" s="1"/>
    </row>
    <row r="614" spans="31:33" ht="15.75" customHeight="1" x14ac:dyDescent="0.2">
      <c r="AE614" s="1"/>
      <c r="AF614" s="1"/>
      <c r="AG614" s="1"/>
    </row>
    <row r="615" spans="31:33" ht="15.75" customHeight="1" x14ac:dyDescent="0.2">
      <c r="AE615" s="1"/>
      <c r="AF615" s="1"/>
      <c r="AG615" s="1"/>
    </row>
    <row r="616" spans="31:33" ht="15.75" customHeight="1" x14ac:dyDescent="0.2">
      <c r="AE616" s="1"/>
      <c r="AF616" s="1"/>
      <c r="AG616" s="1"/>
    </row>
    <row r="617" spans="31:33" ht="15.75" customHeight="1" x14ac:dyDescent="0.2">
      <c r="AE617" s="1"/>
      <c r="AF617" s="1"/>
      <c r="AG617" s="1"/>
    </row>
    <row r="618" spans="31:33" ht="15.75" customHeight="1" x14ac:dyDescent="0.2">
      <c r="AE618" s="1"/>
      <c r="AF618" s="1"/>
      <c r="AG618" s="1"/>
    </row>
    <row r="619" spans="31:33" ht="15.75" customHeight="1" x14ac:dyDescent="0.2">
      <c r="AE619" s="1"/>
      <c r="AF619" s="1"/>
      <c r="AG619" s="1"/>
    </row>
    <row r="620" spans="31:33" ht="15.75" customHeight="1" x14ac:dyDescent="0.2">
      <c r="AE620" s="1"/>
      <c r="AF620" s="1"/>
      <c r="AG620" s="1"/>
    </row>
    <row r="621" spans="31:33" ht="15.75" customHeight="1" x14ac:dyDescent="0.2">
      <c r="AE621" s="1"/>
      <c r="AF621" s="1"/>
      <c r="AG621" s="1"/>
    </row>
    <row r="622" spans="31:33" ht="15.75" customHeight="1" x14ac:dyDescent="0.2">
      <c r="AE622" s="1"/>
      <c r="AF622" s="1"/>
      <c r="AG622" s="1"/>
    </row>
    <row r="623" spans="31:33" ht="15.75" customHeight="1" x14ac:dyDescent="0.2">
      <c r="AE623" s="1"/>
      <c r="AF623" s="1"/>
      <c r="AG623" s="1"/>
    </row>
    <row r="624" spans="31:33" ht="15.75" customHeight="1" x14ac:dyDescent="0.2">
      <c r="AE624" s="1"/>
      <c r="AF624" s="1"/>
      <c r="AG624" s="1"/>
    </row>
    <row r="625" spans="31:33" ht="15.75" customHeight="1" x14ac:dyDescent="0.2">
      <c r="AE625" s="1"/>
      <c r="AF625" s="1"/>
      <c r="AG625" s="1"/>
    </row>
    <row r="626" spans="31:33" ht="15.75" customHeight="1" x14ac:dyDescent="0.2">
      <c r="AE626" s="1"/>
      <c r="AF626" s="1"/>
      <c r="AG626" s="1"/>
    </row>
    <row r="627" spans="31:33" ht="15.75" customHeight="1" x14ac:dyDescent="0.2">
      <c r="AE627" s="1"/>
      <c r="AF627" s="1"/>
      <c r="AG627" s="1"/>
    </row>
    <row r="628" spans="31:33" ht="15.75" customHeight="1" x14ac:dyDescent="0.2">
      <c r="AE628" s="1"/>
      <c r="AF628" s="1"/>
      <c r="AG628" s="1"/>
    </row>
    <row r="629" spans="31:33" ht="15.75" customHeight="1" x14ac:dyDescent="0.2">
      <c r="AE629" s="1"/>
      <c r="AF629" s="1"/>
      <c r="AG629" s="1"/>
    </row>
    <row r="630" spans="31:33" ht="15.75" customHeight="1" x14ac:dyDescent="0.2">
      <c r="AE630" s="1"/>
      <c r="AF630" s="1"/>
      <c r="AG630" s="1"/>
    </row>
    <row r="631" spans="31:33" ht="15.75" customHeight="1" x14ac:dyDescent="0.2">
      <c r="AE631" s="1"/>
      <c r="AF631" s="1"/>
      <c r="AG631" s="1"/>
    </row>
    <row r="632" spans="31:33" ht="15.75" customHeight="1" x14ac:dyDescent="0.2">
      <c r="AE632" s="1"/>
      <c r="AF632" s="1"/>
      <c r="AG632" s="1"/>
    </row>
    <row r="633" spans="31:33" ht="15.75" customHeight="1" x14ac:dyDescent="0.2">
      <c r="AE633" s="1"/>
      <c r="AF633" s="1"/>
      <c r="AG633" s="1"/>
    </row>
    <row r="634" spans="31:33" ht="15.75" customHeight="1" x14ac:dyDescent="0.2">
      <c r="AE634" s="1"/>
      <c r="AF634" s="1"/>
      <c r="AG634" s="1"/>
    </row>
    <row r="635" spans="31:33" ht="15.75" customHeight="1" x14ac:dyDescent="0.2">
      <c r="AE635" s="1"/>
      <c r="AF635" s="1"/>
      <c r="AG635" s="1"/>
    </row>
    <row r="636" spans="31:33" ht="15.75" customHeight="1" x14ac:dyDescent="0.2">
      <c r="AE636" s="1"/>
      <c r="AF636" s="1"/>
      <c r="AG636" s="1"/>
    </row>
    <row r="637" spans="31:33" ht="15.75" customHeight="1" x14ac:dyDescent="0.2">
      <c r="AE637" s="1"/>
      <c r="AF637" s="1"/>
      <c r="AG637" s="1"/>
    </row>
    <row r="638" spans="31:33" ht="15.75" customHeight="1" x14ac:dyDescent="0.2">
      <c r="AE638" s="1"/>
      <c r="AF638" s="1"/>
      <c r="AG638" s="1"/>
    </row>
    <row r="639" spans="31:33" ht="15.75" customHeight="1" x14ac:dyDescent="0.2">
      <c r="AE639" s="1"/>
      <c r="AF639" s="1"/>
      <c r="AG639" s="1"/>
    </row>
    <row r="640" spans="31:33" ht="15.75" customHeight="1" x14ac:dyDescent="0.2">
      <c r="AE640" s="1"/>
      <c r="AF640" s="1"/>
      <c r="AG640" s="1"/>
    </row>
    <row r="641" spans="31:33" ht="15.75" customHeight="1" x14ac:dyDescent="0.2">
      <c r="AE641" s="1"/>
      <c r="AF641" s="1"/>
      <c r="AG641" s="1"/>
    </row>
    <row r="642" spans="31:33" ht="15.75" customHeight="1" x14ac:dyDescent="0.2">
      <c r="AE642" s="1"/>
      <c r="AF642" s="1"/>
      <c r="AG642" s="1"/>
    </row>
    <row r="643" spans="31:33" ht="15.75" customHeight="1" x14ac:dyDescent="0.2">
      <c r="AE643" s="1"/>
      <c r="AF643" s="1"/>
      <c r="AG643" s="1"/>
    </row>
    <row r="644" spans="31:33" ht="15.75" customHeight="1" x14ac:dyDescent="0.2">
      <c r="AE644" s="1"/>
      <c r="AF644" s="1"/>
      <c r="AG644" s="1"/>
    </row>
    <row r="645" spans="31:33" ht="15.75" customHeight="1" x14ac:dyDescent="0.2">
      <c r="AE645" s="1"/>
      <c r="AF645" s="1"/>
      <c r="AG645" s="1"/>
    </row>
    <row r="646" spans="31:33" ht="15.75" customHeight="1" x14ac:dyDescent="0.2">
      <c r="AE646" s="1"/>
      <c r="AF646" s="1"/>
      <c r="AG646" s="1"/>
    </row>
    <row r="647" spans="31:33" ht="15.75" customHeight="1" x14ac:dyDescent="0.2">
      <c r="AE647" s="1"/>
      <c r="AF647" s="1"/>
      <c r="AG647" s="1"/>
    </row>
    <row r="648" spans="31:33" ht="15.75" customHeight="1" x14ac:dyDescent="0.2">
      <c r="AE648" s="1"/>
      <c r="AF648" s="1"/>
      <c r="AG648" s="1"/>
    </row>
    <row r="649" spans="31:33" ht="15.75" customHeight="1" x14ac:dyDescent="0.2">
      <c r="AE649" s="1"/>
      <c r="AF649" s="1"/>
      <c r="AG649" s="1"/>
    </row>
    <row r="650" spans="31:33" ht="15.75" customHeight="1" x14ac:dyDescent="0.2">
      <c r="AE650" s="1"/>
      <c r="AF650" s="1"/>
      <c r="AG650" s="1"/>
    </row>
    <row r="651" spans="31:33" ht="15.75" customHeight="1" x14ac:dyDescent="0.2">
      <c r="AE651" s="1"/>
      <c r="AF651" s="1"/>
      <c r="AG651" s="1"/>
    </row>
    <row r="652" spans="31:33" ht="15.75" customHeight="1" x14ac:dyDescent="0.2">
      <c r="AE652" s="1"/>
      <c r="AF652" s="1"/>
      <c r="AG652" s="1"/>
    </row>
    <row r="653" spans="31:33" ht="15.75" customHeight="1" x14ac:dyDescent="0.2">
      <c r="AE653" s="1"/>
      <c r="AF653" s="1"/>
      <c r="AG653" s="1"/>
    </row>
    <row r="654" spans="31:33" ht="15.75" customHeight="1" x14ac:dyDescent="0.2">
      <c r="AE654" s="1"/>
      <c r="AF654" s="1"/>
      <c r="AG654" s="1"/>
    </row>
    <row r="655" spans="31:33" ht="15.75" customHeight="1" x14ac:dyDescent="0.2">
      <c r="AE655" s="1"/>
      <c r="AF655" s="1"/>
      <c r="AG655" s="1"/>
    </row>
    <row r="656" spans="31:33" ht="15.75" customHeight="1" x14ac:dyDescent="0.2">
      <c r="AE656" s="1"/>
      <c r="AF656" s="1"/>
      <c r="AG656" s="1"/>
    </row>
    <row r="657" spans="31:33" ht="15.75" customHeight="1" x14ac:dyDescent="0.2">
      <c r="AE657" s="1"/>
      <c r="AF657" s="1"/>
      <c r="AG657" s="1"/>
    </row>
    <row r="658" spans="31:33" ht="15.75" customHeight="1" x14ac:dyDescent="0.2">
      <c r="AE658" s="1"/>
      <c r="AF658" s="1"/>
      <c r="AG658" s="1"/>
    </row>
    <row r="659" spans="31:33" ht="15.75" customHeight="1" x14ac:dyDescent="0.2">
      <c r="AE659" s="1"/>
      <c r="AF659" s="1"/>
      <c r="AG659" s="1"/>
    </row>
    <row r="660" spans="31:33" ht="15.75" customHeight="1" x14ac:dyDescent="0.2">
      <c r="AE660" s="1"/>
      <c r="AF660" s="1"/>
      <c r="AG660" s="1"/>
    </row>
    <row r="661" spans="31:33" ht="15.75" customHeight="1" x14ac:dyDescent="0.2">
      <c r="AE661" s="1"/>
      <c r="AF661" s="1"/>
      <c r="AG661" s="1"/>
    </row>
    <row r="662" spans="31:33" ht="15.75" customHeight="1" x14ac:dyDescent="0.2">
      <c r="AE662" s="1"/>
      <c r="AF662" s="1"/>
      <c r="AG662" s="1"/>
    </row>
    <row r="663" spans="31:33" ht="15.75" customHeight="1" x14ac:dyDescent="0.2">
      <c r="AE663" s="1"/>
      <c r="AF663" s="1"/>
      <c r="AG663" s="1"/>
    </row>
    <row r="664" spans="31:33" ht="15.75" customHeight="1" x14ac:dyDescent="0.2">
      <c r="AE664" s="1"/>
      <c r="AF664" s="1"/>
      <c r="AG664" s="1"/>
    </row>
    <row r="665" spans="31:33" ht="15.75" customHeight="1" x14ac:dyDescent="0.2">
      <c r="AE665" s="1"/>
      <c r="AF665" s="1"/>
      <c r="AG665" s="1"/>
    </row>
    <row r="666" spans="31:33" ht="15.75" customHeight="1" x14ac:dyDescent="0.2">
      <c r="AE666" s="1"/>
      <c r="AF666" s="1"/>
      <c r="AG666" s="1"/>
    </row>
    <row r="667" spans="31:33" ht="15.75" customHeight="1" x14ac:dyDescent="0.2">
      <c r="AE667" s="1"/>
      <c r="AF667" s="1"/>
      <c r="AG667" s="1"/>
    </row>
    <row r="668" spans="31:33" ht="15.75" customHeight="1" x14ac:dyDescent="0.2">
      <c r="AE668" s="1"/>
      <c r="AF668" s="1"/>
      <c r="AG668" s="1"/>
    </row>
    <row r="669" spans="31:33" ht="15.75" customHeight="1" x14ac:dyDescent="0.2">
      <c r="AE669" s="1"/>
      <c r="AF669" s="1"/>
      <c r="AG669" s="1"/>
    </row>
    <row r="670" spans="31:33" ht="15.75" customHeight="1" x14ac:dyDescent="0.2">
      <c r="AE670" s="1"/>
      <c r="AF670" s="1"/>
      <c r="AG670" s="1"/>
    </row>
    <row r="671" spans="31:33" ht="15.75" customHeight="1" x14ac:dyDescent="0.2">
      <c r="AE671" s="1"/>
      <c r="AF671" s="1"/>
      <c r="AG671" s="1"/>
    </row>
    <row r="672" spans="31:33" ht="15.75" customHeight="1" x14ac:dyDescent="0.2">
      <c r="AE672" s="1"/>
      <c r="AF672" s="1"/>
      <c r="AG672" s="1"/>
    </row>
    <row r="673" spans="31:33" ht="15.75" customHeight="1" x14ac:dyDescent="0.2">
      <c r="AE673" s="1"/>
      <c r="AF673" s="1"/>
      <c r="AG673" s="1"/>
    </row>
    <row r="674" spans="31:33" ht="15.75" customHeight="1" x14ac:dyDescent="0.2">
      <c r="AE674" s="1"/>
      <c r="AF674" s="1"/>
      <c r="AG674" s="1"/>
    </row>
    <row r="675" spans="31:33" ht="15.75" customHeight="1" x14ac:dyDescent="0.2">
      <c r="AE675" s="1"/>
      <c r="AF675" s="1"/>
      <c r="AG675" s="1"/>
    </row>
    <row r="676" spans="31:33" ht="15.75" customHeight="1" x14ac:dyDescent="0.2">
      <c r="AE676" s="1"/>
      <c r="AF676" s="1"/>
      <c r="AG676" s="1"/>
    </row>
    <row r="677" spans="31:33" ht="15.75" customHeight="1" x14ac:dyDescent="0.2">
      <c r="AE677" s="1"/>
      <c r="AF677" s="1"/>
      <c r="AG677" s="1"/>
    </row>
    <row r="678" spans="31:33" ht="15.75" customHeight="1" x14ac:dyDescent="0.2">
      <c r="AE678" s="1"/>
      <c r="AF678" s="1"/>
      <c r="AG678" s="1"/>
    </row>
    <row r="679" spans="31:33" ht="15.75" customHeight="1" x14ac:dyDescent="0.2">
      <c r="AE679" s="1"/>
      <c r="AF679" s="1"/>
      <c r="AG679" s="1"/>
    </row>
    <row r="680" spans="31:33" ht="15.75" customHeight="1" x14ac:dyDescent="0.2">
      <c r="AE680" s="1"/>
      <c r="AF680" s="1"/>
      <c r="AG680" s="1"/>
    </row>
    <row r="681" spans="31:33" ht="15.75" customHeight="1" x14ac:dyDescent="0.2">
      <c r="AE681" s="1"/>
      <c r="AF681" s="1"/>
      <c r="AG681" s="1"/>
    </row>
    <row r="682" spans="31:33" ht="15.75" customHeight="1" x14ac:dyDescent="0.2">
      <c r="AE682" s="1"/>
      <c r="AF682" s="1"/>
      <c r="AG682" s="1"/>
    </row>
    <row r="683" spans="31:33" ht="15.75" customHeight="1" x14ac:dyDescent="0.2">
      <c r="AE683" s="1"/>
      <c r="AF683" s="1"/>
      <c r="AG683" s="1"/>
    </row>
    <row r="684" spans="31:33" ht="15.75" customHeight="1" x14ac:dyDescent="0.2">
      <c r="AE684" s="1"/>
      <c r="AF684" s="1"/>
      <c r="AG684" s="1"/>
    </row>
    <row r="685" spans="31:33" ht="15.75" customHeight="1" x14ac:dyDescent="0.2">
      <c r="AE685" s="1"/>
      <c r="AF685" s="1"/>
      <c r="AG685" s="1"/>
    </row>
    <row r="686" spans="31:33" ht="15.75" customHeight="1" x14ac:dyDescent="0.2">
      <c r="AE686" s="1"/>
      <c r="AF686" s="1"/>
      <c r="AG686" s="1"/>
    </row>
    <row r="687" spans="31:33" ht="15.75" customHeight="1" x14ac:dyDescent="0.2">
      <c r="AE687" s="1"/>
      <c r="AF687" s="1"/>
      <c r="AG687" s="1"/>
    </row>
    <row r="688" spans="31:33" ht="15.75" customHeight="1" x14ac:dyDescent="0.2">
      <c r="AE688" s="1"/>
      <c r="AF688" s="1"/>
      <c r="AG688" s="1"/>
    </row>
    <row r="689" spans="31:33" ht="15.75" customHeight="1" x14ac:dyDescent="0.2">
      <c r="AE689" s="1"/>
      <c r="AF689" s="1"/>
      <c r="AG689" s="1"/>
    </row>
    <row r="690" spans="31:33" ht="15.75" customHeight="1" x14ac:dyDescent="0.2">
      <c r="AE690" s="1"/>
      <c r="AF690" s="1"/>
      <c r="AG690" s="1"/>
    </row>
    <row r="691" spans="31:33" ht="15.75" customHeight="1" x14ac:dyDescent="0.2">
      <c r="AE691" s="1"/>
      <c r="AF691" s="1"/>
      <c r="AG691" s="1"/>
    </row>
    <row r="692" spans="31:33" ht="15.75" customHeight="1" x14ac:dyDescent="0.2">
      <c r="AE692" s="1"/>
      <c r="AF692" s="1"/>
      <c r="AG692" s="1"/>
    </row>
    <row r="693" spans="31:33" ht="15.75" customHeight="1" x14ac:dyDescent="0.2">
      <c r="AE693" s="1"/>
      <c r="AF693" s="1"/>
      <c r="AG693" s="1"/>
    </row>
    <row r="694" spans="31:33" ht="15.75" customHeight="1" x14ac:dyDescent="0.2">
      <c r="AE694" s="1"/>
      <c r="AF694" s="1"/>
      <c r="AG694" s="1"/>
    </row>
    <row r="695" spans="31:33" ht="15.75" customHeight="1" x14ac:dyDescent="0.2">
      <c r="AE695" s="1"/>
      <c r="AF695" s="1"/>
      <c r="AG695" s="1"/>
    </row>
    <row r="696" spans="31:33" ht="15.75" customHeight="1" x14ac:dyDescent="0.2">
      <c r="AE696" s="1"/>
      <c r="AF696" s="1"/>
      <c r="AG696" s="1"/>
    </row>
    <row r="697" spans="31:33" ht="15.75" customHeight="1" x14ac:dyDescent="0.2">
      <c r="AE697" s="1"/>
      <c r="AF697" s="1"/>
      <c r="AG697" s="1"/>
    </row>
    <row r="698" spans="31:33" ht="15.75" customHeight="1" x14ac:dyDescent="0.2">
      <c r="AE698" s="1"/>
      <c r="AF698" s="1"/>
      <c r="AG698" s="1"/>
    </row>
    <row r="699" spans="31:33" ht="15.75" customHeight="1" x14ac:dyDescent="0.2">
      <c r="AE699" s="1"/>
      <c r="AF699" s="1"/>
      <c r="AG699" s="1"/>
    </row>
    <row r="700" spans="31:33" ht="15.75" customHeight="1" x14ac:dyDescent="0.2">
      <c r="AE700" s="1"/>
      <c r="AF700" s="1"/>
      <c r="AG700" s="1"/>
    </row>
    <row r="701" spans="31:33" ht="15.75" customHeight="1" x14ac:dyDescent="0.2">
      <c r="AE701" s="1"/>
      <c r="AF701" s="1"/>
      <c r="AG701" s="1"/>
    </row>
    <row r="702" spans="31:33" ht="15.75" customHeight="1" x14ac:dyDescent="0.2">
      <c r="AE702" s="1"/>
      <c r="AF702" s="1"/>
      <c r="AG702" s="1"/>
    </row>
    <row r="703" spans="31:33" ht="15.75" customHeight="1" x14ac:dyDescent="0.2">
      <c r="AE703" s="1"/>
      <c r="AF703" s="1"/>
      <c r="AG703" s="1"/>
    </row>
    <row r="704" spans="31:33" ht="15.75" customHeight="1" x14ac:dyDescent="0.2">
      <c r="AE704" s="1"/>
      <c r="AF704" s="1"/>
      <c r="AG704" s="1"/>
    </row>
    <row r="705" spans="31:33" ht="15.75" customHeight="1" x14ac:dyDescent="0.2">
      <c r="AE705" s="1"/>
      <c r="AF705" s="1"/>
      <c r="AG705" s="1"/>
    </row>
    <row r="706" spans="31:33" ht="15.75" customHeight="1" x14ac:dyDescent="0.2">
      <c r="AE706" s="1"/>
      <c r="AF706" s="1"/>
      <c r="AG706" s="1"/>
    </row>
    <row r="707" spans="31:33" ht="15.75" customHeight="1" x14ac:dyDescent="0.2">
      <c r="AE707" s="1"/>
      <c r="AF707" s="1"/>
      <c r="AG707" s="1"/>
    </row>
    <row r="708" spans="31:33" ht="15.75" customHeight="1" x14ac:dyDescent="0.2">
      <c r="AE708" s="1"/>
      <c r="AF708" s="1"/>
      <c r="AG708" s="1"/>
    </row>
    <row r="709" spans="31:33" ht="15.75" customHeight="1" x14ac:dyDescent="0.2">
      <c r="AE709" s="1"/>
      <c r="AF709" s="1"/>
      <c r="AG709" s="1"/>
    </row>
    <row r="710" spans="31:33" ht="15.75" customHeight="1" x14ac:dyDescent="0.2">
      <c r="AE710" s="1"/>
      <c r="AF710" s="1"/>
      <c r="AG710" s="1"/>
    </row>
    <row r="711" spans="31:33" ht="15.75" customHeight="1" x14ac:dyDescent="0.2">
      <c r="AE711" s="1"/>
      <c r="AF711" s="1"/>
      <c r="AG711" s="1"/>
    </row>
    <row r="712" spans="31:33" ht="15.75" customHeight="1" x14ac:dyDescent="0.2">
      <c r="AE712" s="1"/>
      <c r="AF712" s="1"/>
      <c r="AG712" s="1"/>
    </row>
    <row r="713" spans="31:33" ht="15.75" customHeight="1" x14ac:dyDescent="0.2">
      <c r="AE713" s="1"/>
      <c r="AF713" s="1"/>
      <c r="AG713" s="1"/>
    </row>
    <row r="714" spans="31:33" ht="15.75" customHeight="1" x14ac:dyDescent="0.2">
      <c r="AE714" s="1"/>
      <c r="AF714" s="1"/>
      <c r="AG714" s="1"/>
    </row>
    <row r="715" spans="31:33" ht="15.75" customHeight="1" x14ac:dyDescent="0.2">
      <c r="AE715" s="1"/>
      <c r="AF715" s="1"/>
      <c r="AG715" s="1"/>
    </row>
    <row r="716" spans="31:33" ht="15.75" customHeight="1" x14ac:dyDescent="0.2">
      <c r="AE716" s="1"/>
      <c r="AF716" s="1"/>
      <c r="AG716" s="1"/>
    </row>
    <row r="717" spans="31:33" ht="15.75" customHeight="1" x14ac:dyDescent="0.2">
      <c r="AE717" s="1"/>
      <c r="AF717" s="1"/>
      <c r="AG717" s="1"/>
    </row>
    <row r="718" spans="31:33" ht="15.75" customHeight="1" x14ac:dyDescent="0.2">
      <c r="AE718" s="1"/>
      <c r="AF718" s="1"/>
      <c r="AG718" s="1"/>
    </row>
    <row r="719" spans="31:33" ht="15.75" customHeight="1" x14ac:dyDescent="0.2">
      <c r="AE719" s="1"/>
      <c r="AF719" s="1"/>
      <c r="AG719" s="1"/>
    </row>
    <row r="720" spans="31:33" ht="15.75" customHeight="1" x14ac:dyDescent="0.2">
      <c r="AE720" s="1"/>
      <c r="AF720" s="1"/>
      <c r="AG720" s="1"/>
    </row>
    <row r="721" spans="31:33" ht="15.75" customHeight="1" x14ac:dyDescent="0.2">
      <c r="AE721" s="1"/>
      <c r="AF721" s="1"/>
      <c r="AG721" s="1"/>
    </row>
    <row r="722" spans="31:33" ht="15.75" customHeight="1" x14ac:dyDescent="0.2">
      <c r="AE722" s="1"/>
      <c r="AF722" s="1"/>
      <c r="AG722" s="1"/>
    </row>
    <row r="723" spans="31:33" ht="15.75" customHeight="1" x14ac:dyDescent="0.2">
      <c r="AE723" s="1"/>
      <c r="AF723" s="1"/>
      <c r="AG723" s="1"/>
    </row>
    <row r="724" spans="31:33" ht="15.75" customHeight="1" x14ac:dyDescent="0.2">
      <c r="AE724" s="1"/>
      <c r="AF724" s="1"/>
      <c r="AG724" s="1"/>
    </row>
    <row r="725" spans="31:33" ht="15.75" customHeight="1" x14ac:dyDescent="0.2">
      <c r="AE725" s="1"/>
      <c r="AF725" s="1"/>
      <c r="AG725" s="1"/>
    </row>
    <row r="726" spans="31:33" ht="15.75" customHeight="1" x14ac:dyDescent="0.2">
      <c r="AE726" s="1"/>
      <c r="AF726" s="1"/>
      <c r="AG726" s="1"/>
    </row>
    <row r="727" spans="31:33" ht="15.75" customHeight="1" x14ac:dyDescent="0.2">
      <c r="AE727" s="1"/>
      <c r="AF727" s="1"/>
      <c r="AG727" s="1"/>
    </row>
    <row r="728" spans="31:33" ht="15.75" customHeight="1" x14ac:dyDescent="0.2">
      <c r="AE728" s="1"/>
      <c r="AF728" s="1"/>
      <c r="AG728" s="1"/>
    </row>
    <row r="729" spans="31:33" ht="15.75" customHeight="1" x14ac:dyDescent="0.2">
      <c r="AE729" s="1"/>
      <c r="AF729" s="1"/>
      <c r="AG729" s="1"/>
    </row>
    <row r="730" spans="31:33" ht="15.75" customHeight="1" x14ac:dyDescent="0.2">
      <c r="AE730" s="1"/>
      <c r="AF730" s="1"/>
      <c r="AG730" s="1"/>
    </row>
    <row r="731" spans="31:33" ht="15.75" customHeight="1" x14ac:dyDescent="0.2">
      <c r="AE731" s="1"/>
      <c r="AF731" s="1"/>
      <c r="AG731" s="1"/>
    </row>
    <row r="732" spans="31:33" ht="15.75" customHeight="1" x14ac:dyDescent="0.2">
      <c r="AE732" s="1"/>
      <c r="AF732" s="1"/>
      <c r="AG732" s="1"/>
    </row>
    <row r="733" spans="31:33" ht="15.75" customHeight="1" x14ac:dyDescent="0.2">
      <c r="AE733" s="1"/>
      <c r="AF733" s="1"/>
      <c r="AG733" s="1"/>
    </row>
    <row r="734" spans="31:33" ht="15.75" customHeight="1" x14ac:dyDescent="0.2">
      <c r="AE734" s="1"/>
      <c r="AF734" s="1"/>
      <c r="AG734" s="1"/>
    </row>
    <row r="735" spans="31:33" ht="15.75" customHeight="1" x14ac:dyDescent="0.2">
      <c r="AE735" s="1"/>
      <c r="AF735" s="1"/>
      <c r="AG735" s="1"/>
    </row>
    <row r="736" spans="31:33" ht="15.75" customHeight="1" x14ac:dyDescent="0.2">
      <c r="AE736" s="1"/>
      <c r="AF736" s="1"/>
      <c r="AG736" s="1"/>
    </row>
    <row r="737" spans="31:33" ht="15.75" customHeight="1" x14ac:dyDescent="0.2">
      <c r="AE737" s="1"/>
      <c r="AF737" s="1"/>
      <c r="AG737" s="1"/>
    </row>
    <row r="738" spans="31:33" ht="15.75" customHeight="1" x14ac:dyDescent="0.2">
      <c r="AE738" s="1"/>
      <c r="AF738" s="1"/>
      <c r="AG738" s="1"/>
    </row>
    <row r="739" spans="31:33" ht="15.75" customHeight="1" x14ac:dyDescent="0.2">
      <c r="AE739" s="1"/>
      <c r="AF739" s="1"/>
      <c r="AG739" s="1"/>
    </row>
    <row r="740" spans="31:33" ht="15.75" customHeight="1" x14ac:dyDescent="0.2">
      <c r="AE740" s="1"/>
      <c r="AF740" s="1"/>
      <c r="AG740" s="1"/>
    </row>
    <row r="741" spans="31:33" ht="15.75" customHeight="1" x14ac:dyDescent="0.2">
      <c r="AE741" s="1"/>
      <c r="AF741" s="1"/>
      <c r="AG741" s="1"/>
    </row>
    <row r="742" spans="31:33" ht="15.75" customHeight="1" x14ac:dyDescent="0.2">
      <c r="AE742" s="1"/>
      <c r="AF742" s="1"/>
      <c r="AG742" s="1"/>
    </row>
    <row r="743" spans="31:33" ht="15.75" customHeight="1" x14ac:dyDescent="0.2">
      <c r="AE743" s="1"/>
      <c r="AF743" s="1"/>
      <c r="AG743" s="1"/>
    </row>
    <row r="744" spans="31:33" ht="15.75" customHeight="1" x14ac:dyDescent="0.2">
      <c r="AE744" s="1"/>
      <c r="AF744" s="1"/>
      <c r="AG744" s="1"/>
    </row>
    <row r="745" spans="31:33" ht="15.75" customHeight="1" x14ac:dyDescent="0.2">
      <c r="AE745" s="1"/>
      <c r="AF745" s="1"/>
      <c r="AG745" s="1"/>
    </row>
    <row r="746" spans="31:33" ht="15.75" customHeight="1" x14ac:dyDescent="0.2">
      <c r="AE746" s="1"/>
      <c r="AF746" s="1"/>
      <c r="AG746" s="1"/>
    </row>
    <row r="747" spans="31:33" ht="15.75" customHeight="1" x14ac:dyDescent="0.2">
      <c r="AE747" s="1"/>
      <c r="AF747" s="1"/>
      <c r="AG747" s="1"/>
    </row>
    <row r="748" spans="31:33" ht="15.75" customHeight="1" x14ac:dyDescent="0.2">
      <c r="AE748" s="1"/>
      <c r="AF748" s="1"/>
      <c r="AG748" s="1"/>
    </row>
    <row r="749" spans="31:33" ht="15.75" customHeight="1" x14ac:dyDescent="0.2">
      <c r="AE749" s="1"/>
      <c r="AF749" s="1"/>
      <c r="AG749" s="1"/>
    </row>
    <row r="750" spans="31:33" ht="15.75" customHeight="1" x14ac:dyDescent="0.2">
      <c r="AE750" s="1"/>
      <c r="AF750" s="1"/>
      <c r="AG750" s="1"/>
    </row>
    <row r="751" spans="31:33" ht="15.75" customHeight="1" x14ac:dyDescent="0.2">
      <c r="AE751" s="1"/>
      <c r="AF751" s="1"/>
      <c r="AG751" s="1"/>
    </row>
    <row r="752" spans="31:33" ht="15.75" customHeight="1" x14ac:dyDescent="0.2">
      <c r="AE752" s="1"/>
      <c r="AF752" s="1"/>
      <c r="AG752" s="1"/>
    </row>
    <row r="753" spans="31:33" ht="15.75" customHeight="1" x14ac:dyDescent="0.2">
      <c r="AE753" s="1"/>
      <c r="AF753" s="1"/>
      <c r="AG753" s="1"/>
    </row>
    <row r="754" spans="31:33" ht="15.75" customHeight="1" x14ac:dyDescent="0.2">
      <c r="AE754" s="1"/>
      <c r="AF754" s="1"/>
      <c r="AG754" s="1"/>
    </row>
    <row r="755" spans="31:33" ht="15.75" customHeight="1" x14ac:dyDescent="0.2">
      <c r="AE755" s="1"/>
      <c r="AF755" s="1"/>
      <c r="AG755" s="1"/>
    </row>
    <row r="756" spans="31:33" ht="15.75" customHeight="1" x14ac:dyDescent="0.2">
      <c r="AE756" s="1"/>
      <c r="AF756" s="1"/>
      <c r="AG756" s="1"/>
    </row>
    <row r="757" spans="31:33" ht="15.75" customHeight="1" x14ac:dyDescent="0.2">
      <c r="AE757" s="1"/>
      <c r="AF757" s="1"/>
      <c r="AG757" s="1"/>
    </row>
    <row r="758" spans="31:33" ht="15.75" customHeight="1" x14ac:dyDescent="0.2">
      <c r="AE758" s="1"/>
      <c r="AF758" s="1"/>
      <c r="AG758" s="1"/>
    </row>
    <row r="759" spans="31:33" ht="15.75" customHeight="1" x14ac:dyDescent="0.2">
      <c r="AE759" s="1"/>
      <c r="AF759" s="1"/>
      <c r="AG759" s="1"/>
    </row>
    <row r="760" spans="31:33" ht="15.75" customHeight="1" x14ac:dyDescent="0.2">
      <c r="AE760" s="1"/>
      <c r="AF760" s="1"/>
      <c r="AG760" s="1"/>
    </row>
    <row r="761" spans="31:33" ht="15.75" customHeight="1" x14ac:dyDescent="0.2">
      <c r="AE761" s="1"/>
      <c r="AF761" s="1"/>
      <c r="AG761" s="1"/>
    </row>
    <row r="762" spans="31:33" ht="15.75" customHeight="1" x14ac:dyDescent="0.2">
      <c r="AE762" s="1"/>
      <c r="AF762" s="1"/>
      <c r="AG762" s="1"/>
    </row>
    <row r="763" spans="31:33" ht="15.75" customHeight="1" x14ac:dyDescent="0.2">
      <c r="AE763" s="1"/>
      <c r="AF763" s="1"/>
      <c r="AG763" s="1"/>
    </row>
    <row r="764" spans="31:33" ht="15.75" customHeight="1" x14ac:dyDescent="0.2">
      <c r="AE764" s="1"/>
      <c r="AF764" s="1"/>
      <c r="AG764" s="1"/>
    </row>
    <row r="765" spans="31:33" ht="15.75" customHeight="1" x14ac:dyDescent="0.2">
      <c r="AE765" s="1"/>
      <c r="AF765" s="1"/>
      <c r="AG765" s="1"/>
    </row>
    <row r="766" spans="31:33" ht="15.75" customHeight="1" x14ac:dyDescent="0.2">
      <c r="AE766" s="1"/>
      <c r="AF766" s="1"/>
      <c r="AG766" s="1"/>
    </row>
    <row r="767" spans="31:33" ht="15.75" customHeight="1" x14ac:dyDescent="0.2">
      <c r="AE767" s="1"/>
      <c r="AF767" s="1"/>
      <c r="AG767" s="1"/>
    </row>
    <row r="768" spans="31:33" ht="15.75" customHeight="1" x14ac:dyDescent="0.2">
      <c r="AE768" s="1"/>
      <c r="AF768" s="1"/>
      <c r="AG768" s="1"/>
    </row>
    <row r="769" spans="31:33" ht="15.75" customHeight="1" x14ac:dyDescent="0.2">
      <c r="AE769" s="1"/>
      <c r="AF769" s="1"/>
      <c r="AG769" s="1"/>
    </row>
    <row r="770" spans="31:33" ht="15.75" customHeight="1" x14ac:dyDescent="0.2">
      <c r="AE770" s="1"/>
      <c r="AF770" s="1"/>
      <c r="AG770" s="1"/>
    </row>
    <row r="771" spans="31:33" ht="15.75" customHeight="1" x14ac:dyDescent="0.2">
      <c r="AE771" s="1"/>
      <c r="AF771" s="1"/>
      <c r="AG771" s="1"/>
    </row>
    <row r="772" spans="31:33" ht="15.75" customHeight="1" x14ac:dyDescent="0.2">
      <c r="AE772" s="1"/>
      <c r="AF772" s="1"/>
      <c r="AG772" s="1"/>
    </row>
    <row r="773" spans="31:33" ht="15.75" customHeight="1" x14ac:dyDescent="0.2">
      <c r="AE773" s="1"/>
      <c r="AF773" s="1"/>
      <c r="AG773" s="1"/>
    </row>
    <row r="774" spans="31:33" ht="15.75" customHeight="1" x14ac:dyDescent="0.2">
      <c r="AE774" s="1"/>
      <c r="AF774" s="1"/>
      <c r="AG774" s="1"/>
    </row>
    <row r="775" spans="31:33" ht="15.75" customHeight="1" x14ac:dyDescent="0.2">
      <c r="AE775" s="1"/>
      <c r="AF775" s="1"/>
      <c r="AG775" s="1"/>
    </row>
    <row r="776" spans="31:33" ht="15.75" customHeight="1" x14ac:dyDescent="0.2">
      <c r="AE776" s="1"/>
      <c r="AF776" s="1"/>
      <c r="AG776" s="1"/>
    </row>
    <row r="777" spans="31:33" ht="15.75" customHeight="1" x14ac:dyDescent="0.2">
      <c r="AE777" s="1"/>
      <c r="AF777" s="1"/>
      <c r="AG777" s="1"/>
    </row>
    <row r="778" spans="31:33" ht="15.75" customHeight="1" x14ac:dyDescent="0.2">
      <c r="AE778" s="1"/>
      <c r="AF778" s="1"/>
      <c r="AG778" s="1"/>
    </row>
    <row r="779" spans="31:33" ht="15.75" customHeight="1" x14ac:dyDescent="0.2">
      <c r="AE779" s="1"/>
      <c r="AF779" s="1"/>
      <c r="AG779" s="1"/>
    </row>
    <row r="780" spans="31:33" ht="15.75" customHeight="1" x14ac:dyDescent="0.2">
      <c r="AE780" s="1"/>
      <c r="AF780" s="1"/>
      <c r="AG780" s="1"/>
    </row>
    <row r="781" spans="31:33" ht="15.75" customHeight="1" x14ac:dyDescent="0.2">
      <c r="AE781" s="1"/>
      <c r="AF781" s="1"/>
      <c r="AG781" s="1"/>
    </row>
    <row r="782" spans="31:33" ht="15.75" customHeight="1" x14ac:dyDescent="0.2">
      <c r="AE782" s="1"/>
      <c r="AF782" s="1"/>
      <c r="AG782" s="1"/>
    </row>
    <row r="783" spans="31:33" ht="15.75" customHeight="1" x14ac:dyDescent="0.2">
      <c r="AE783" s="1"/>
      <c r="AF783" s="1"/>
      <c r="AG783" s="1"/>
    </row>
    <row r="784" spans="31:33" ht="15.75" customHeight="1" x14ac:dyDescent="0.2">
      <c r="AE784" s="1"/>
      <c r="AF784" s="1"/>
      <c r="AG784" s="1"/>
    </row>
    <row r="785" spans="31:33" ht="15.75" customHeight="1" x14ac:dyDescent="0.2">
      <c r="AE785" s="1"/>
      <c r="AF785" s="1"/>
      <c r="AG785" s="1"/>
    </row>
    <row r="786" spans="31:33" ht="15.75" customHeight="1" x14ac:dyDescent="0.2">
      <c r="AE786" s="1"/>
      <c r="AF786" s="1"/>
      <c r="AG786" s="1"/>
    </row>
    <row r="787" spans="31:33" ht="15.75" customHeight="1" x14ac:dyDescent="0.2">
      <c r="AE787" s="1"/>
      <c r="AF787" s="1"/>
      <c r="AG787" s="1"/>
    </row>
    <row r="788" spans="31:33" ht="15.75" customHeight="1" x14ac:dyDescent="0.2">
      <c r="AE788" s="1"/>
      <c r="AF788" s="1"/>
      <c r="AG788" s="1"/>
    </row>
    <row r="789" spans="31:33" ht="15.75" customHeight="1" x14ac:dyDescent="0.2">
      <c r="AE789" s="1"/>
      <c r="AF789" s="1"/>
      <c r="AG789" s="1"/>
    </row>
    <row r="790" spans="31:33" ht="15.75" customHeight="1" x14ac:dyDescent="0.2">
      <c r="AE790" s="1"/>
      <c r="AF790" s="1"/>
      <c r="AG790" s="1"/>
    </row>
    <row r="791" spans="31:33" ht="15.75" customHeight="1" x14ac:dyDescent="0.2">
      <c r="AE791" s="1"/>
      <c r="AF791" s="1"/>
      <c r="AG791" s="1"/>
    </row>
    <row r="792" spans="31:33" ht="15.75" customHeight="1" x14ac:dyDescent="0.2">
      <c r="AE792" s="1"/>
      <c r="AF792" s="1"/>
      <c r="AG792" s="1"/>
    </row>
    <row r="793" spans="31:33" ht="15.75" customHeight="1" x14ac:dyDescent="0.2">
      <c r="AE793" s="1"/>
      <c r="AF793" s="1"/>
      <c r="AG793" s="1"/>
    </row>
    <row r="794" spans="31:33" ht="15.75" customHeight="1" x14ac:dyDescent="0.2">
      <c r="AE794" s="1"/>
      <c r="AF794" s="1"/>
      <c r="AG794" s="1"/>
    </row>
    <row r="795" spans="31:33" ht="15.75" customHeight="1" x14ac:dyDescent="0.2">
      <c r="AE795" s="1"/>
      <c r="AF795" s="1"/>
      <c r="AG795" s="1"/>
    </row>
    <row r="796" spans="31:33" ht="15.75" customHeight="1" x14ac:dyDescent="0.2">
      <c r="AE796" s="1"/>
      <c r="AF796" s="1"/>
      <c r="AG796" s="1"/>
    </row>
    <row r="797" spans="31:33" ht="15.75" customHeight="1" x14ac:dyDescent="0.2">
      <c r="AE797" s="1"/>
      <c r="AF797" s="1"/>
      <c r="AG797" s="1"/>
    </row>
    <row r="798" spans="31:33" ht="15.75" customHeight="1" x14ac:dyDescent="0.2">
      <c r="AE798" s="1"/>
      <c r="AF798" s="1"/>
      <c r="AG798" s="1"/>
    </row>
    <row r="799" spans="31:33" ht="15.75" customHeight="1" x14ac:dyDescent="0.2">
      <c r="AE799" s="1"/>
      <c r="AF799" s="1"/>
      <c r="AG799" s="1"/>
    </row>
    <row r="800" spans="31:33" ht="15.75" customHeight="1" x14ac:dyDescent="0.2">
      <c r="AE800" s="1"/>
      <c r="AF800" s="1"/>
      <c r="AG800" s="1"/>
    </row>
    <row r="801" spans="31:33" ht="15.75" customHeight="1" x14ac:dyDescent="0.2">
      <c r="AE801" s="1"/>
      <c r="AF801" s="1"/>
      <c r="AG801" s="1"/>
    </row>
    <row r="802" spans="31:33" ht="15.75" customHeight="1" x14ac:dyDescent="0.2">
      <c r="AE802" s="1"/>
      <c r="AF802" s="1"/>
      <c r="AG802" s="1"/>
    </row>
    <row r="803" spans="31:33" ht="15.75" customHeight="1" x14ac:dyDescent="0.2">
      <c r="AE803" s="1"/>
      <c r="AF803" s="1"/>
      <c r="AG803" s="1"/>
    </row>
    <row r="804" spans="31:33" ht="15.75" customHeight="1" x14ac:dyDescent="0.2">
      <c r="AE804" s="1"/>
      <c r="AF804" s="1"/>
      <c r="AG804" s="1"/>
    </row>
    <row r="805" spans="31:33" ht="15.75" customHeight="1" x14ac:dyDescent="0.2">
      <c r="AE805" s="1"/>
      <c r="AF805" s="1"/>
      <c r="AG805" s="1"/>
    </row>
    <row r="806" spans="31:33" ht="15.75" customHeight="1" x14ac:dyDescent="0.2">
      <c r="AE806" s="1"/>
      <c r="AF806" s="1"/>
      <c r="AG806" s="1"/>
    </row>
    <row r="807" spans="31:33" ht="15.75" customHeight="1" x14ac:dyDescent="0.2">
      <c r="AE807" s="1"/>
      <c r="AF807" s="1"/>
      <c r="AG807" s="1"/>
    </row>
    <row r="808" spans="31:33" ht="15.75" customHeight="1" x14ac:dyDescent="0.2">
      <c r="AE808" s="1"/>
      <c r="AF808" s="1"/>
      <c r="AG808" s="1"/>
    </row>
    <row r="809" spans="31:33" ht="15.75" customHeight="1" x14ac:dyDescent="0.2">
      <c r="AE809" s="1"/>
      <c r="AF809" s="1"/>
      <c r="AG809" s="1"/>
    </row>
    <row r="810" spans="31:33" ht="15.75" customHeight="1" x14ac:dyDescent="0.2">
      <c r="AE810" s="1"/>
      <c r="AF810" s="1"/>
      <c r="AG810" s="1"/>
    </row>
    <row r="811" spans="31:33" ht="15.75" customHeight="1" x14ac:dyDescent="0.2">
      <c r="AE811" s="1"/>
      <c r="AF811" s="1"/>
      <c r="AG811" s="1"/>
    </row>
    <row r="812" spans="31:33" ht="15.75" customHeight="1" x14ac:dyDescent="0.2">
      <c r="AE812" s="1"/>
      <c r="AF812" s="1"/>
      <c r="AG812" s="1"/>
    </row>
    <row r="813" spans="31:33" ht="15.75" customHeight="1" x14ac:dyDescent="0.2">
      <c r="AE813" s="1"/>
      <c r="AF813" s="1"/>
      <c r="AG813" s="1"/>
    </row>
    <row r="814" spans="31:33" ht="15.75" customHeight="1" x14ac:dyDescent="0.2">
      <c r="AE814" s="1"/>
      <c r="AF814" s="1"/>
      <c r="AG814" s="1"/>
    </row>
    <row r="815" spans="31:33" ht="15.75" customHeight="1" x14ac:dyDescent="0.2">
      <c r="AE815" s="1"/>
      <c r="AF815" s="1"/>
      <c r="AG815" s="1"/>
    </row>
    <row r="816" spans="31:33" ht="15.75" customHeight="1" x14ac:dyDescent="0.2">
      <c r="AE816" s="1"/>
      <c r="AF816" s="1"/>
      <c r="AG816" s="1"/>
    </row>
    <row r="817" spans="31:33" ht="15.75" customHeight="1" x14ac:dyDescent="0.2">
      <c r="AE817" s="1"/>
      <c r="AF817" s="1"/>
      <c r="AG817" s="1"/>
    </row>
    <row r="818" spans="31:33" ht="15.75" customHeight="1" x14ac:dyDescent="0.2">
      <c r="AE818" s="1"/>
      <c r="AF818" s="1"/>
      <c r="AG818" s="1"/>
    </row>
    <row r="819" spans="31:33" ht="15.75" customHeight="1" x14ac:dyDescent="0.2">
      <c r="AE819" s="1"/>
      <c r="AF819" s="1"/>
      <c r="AG819" s="1"/>
    </row>
    <row r="820" spans="31:33" ht="15.75" customHeight="1" x14ac:dyDescent="0.2">
      <c r="AE820" s="1"/>
      <c r="AF820" s="1"/>
      <c r="AG820" s="1"/>
    </row>
    <row r="821" spans="31:33" ht="15.75" customHeight="1" x14ac:dyDescent="0.2">
      <c r="AE821" s="1"/>
      <c r="AF821" s="1"/>
      <c r="AG821" s="1"/>
    </row>
    <row r="822" spans="31:33" ht="15.75" customHeight="1" x14ac:dyDescent="0.2">
      <c r="AE822" s="1"/>
      <c r="AF822" s="1"/>
      <c r="AG822" s="1"/>
    </row>
    <row r="823" spans="31:33" ht="15.75" customHeight="1" x14ac:dyDescent="0.2">
      <c r="AE823" s="1"/>
      <c r="AF823" s="1"/>
      <c r="AG823" s="1"/>
    </row>
    <row r="824" spans="31:33" ht="15.75" customHeight="1" x14ac:dyDescent="0.2">
      <c r="AE824" s="1"/>
      <c r="AF824" s="1"/>
      <c r="AG824" s="1"/>
    </row>
    <row r="825" spans="31:33" ht="15.75" customHeight="1" x14ac:dyDescent="0.2">
      <c r="AE825" s="1"/>
      <c r="AF825" s="1"/>
      <c r="AG825" s="1"/>
    </row>
    <row r="826" spans="31:33" ht="15.75" customHeight="1" x14ac:dyDescent="0.2">
      <c r="AE826" s="1"/>
      <c r="AF826" s="1"/>
      <c r="AG826" s="1"/>
    </row>
    <row r="827" spans="31:33" ht="15.75" customHeight="1" x14ac:dyDescent="0.2">
      <c r="AE827" s="1"/>
      <c r="AF827" s="1"/>
      <c r="AG827" s="1"/>
    </row>
    <row r="828" spans="31:33" ht="15.75" customHeight="1" x14ac:dyDescent="0.2">
      <c r="AE828" s="1"/>
      <c r="AF828" s="1"/>
      <c r="AG828" s="1"/>
    </row>
    <row r="829" spans="31:33" ht="15.75" customHeight="1" x14ac:dyDescent="0.2">
      <c r="AE829" s="1"/>
      <c r="AF829" s="1"/>
      <c r="AG829" s="1"/>
    </row>
    <row r="830" spans="31:33" ht="15.75" customHeight="1" x14ac:dyDescent="0.2">
      <c r="AE830" s="1"/>
      <c r="AF830" s="1"/>
      <c r="AG830" s="1"/>
    </row>
    <row r="831" spans="31:33" ht="15.75" customHeight="1" x14ac:dyDescent="0.2">
      <c r="AE831" s="1"/>
      <c r="AF831" s="1"/>
      <c r="AG831" s="1"/>
    </row>
    <row r="832" spans="31:33" ht="15.75" customHeight="1" x14ac:dyDescent="0.2">
      <c r="AE832" s="1"/>
      <c r="AF832" s="1"/>
      <c r="AG832" s="1"/>
    </row>
    <row r="833" spans="31:33" ht="15.75" customHeight="1" x14ac:dyDescent="0.2">
      <c r="AE833" s="1"/>
      <c r="AF833" s="1"/>
      <c r="AG833" s="1"/>
    </row>
    <row r="834" spans="31:33" ht="15.75" customHeight="1" x14ac:dyDescent="0.2">
      <c r="AE834" s="1"/>
      <c r="AF834" s="1"/>
      <c r="AG834" s="1"/>
    </row>
    <row r="835" spans="31:33" ht="15.75" customHeight="1" x14ac:dyDescent="0.2">
      <c r="AE835" s="1"/>
      <c r="AF835" s="1"/>
      <c r="AG835" s="1"/>
    </row>
    <row r="836" spans="31:33" ht="15.75" customHeight="1" x14ac:dyDescent="0.2">
      <c r="AE836" s="1"/>
      <c r="AF836" s="1"/>
      <c r="AG836" s="1"/>
    </row>
    <row r="837" spans="31:33" ht="15.75" customHeight="1" x14ac:dyDescent="0.2">
      <c r="AE837" s="1"/>
      <c r="AF837" s="1"/>
      <c r="AG837" s="1"/>
    </row>
    <row r="838" spans="31:33" ht="15.75" customHeight="1" x14ac:dyDescent="0.2">
      <c r="AE838" s="1"/>
      <c r="AF838" s="1"/>
      <c r="AG838" s="1"/>
    </row>
    <row r="839" spans="31:33" ht="15.75" customHeight="1" x14ac:dyDescent="0.2">
      <c r="AE839" s="1"/>
      <c r="AF839" s="1"/>
      <c r="AG839" s="1"/>
    </row>
    <row r="840" spans="31:33" ht="15.75" customHeight="1" x14ac:dyDescent="0.2">
      <c r="AE840" s="1"/>
      <c r="AF840" s="1"/>
      <c r="AG840" s="1"/>
    </row>
    <row r="841" spans="31:33" ht="15.75" customHeight="1" x14ac:dyDescent="0.2">
      <c r="AE841" s="1"/>
      <c r="AF841" s="1"/>
      <c r="AG841" s="1"/>
    </row>
    <row r="842" spans="31:33" ht="15.75" customHeight="1" x14ac:dyDescent="0.2">
      <c r="AE842" s="1"/>
      <c r="AF842" s="1"/>
      <c r="AG842" s="1"/>
    </row>
    <row r="843" spans="31:33" ht="15.75" customHeight="1" x14ac:dyDescent="0.2">
      <c r="AE843" s="1"/>
      <c r="AF843" s="1"/>
      <c r="AG843" s="1"/>
    </row>
    <row r="844" spans="31:33" ht="15.75" customHeight="1" x14ac:dyDescent="0.2">
      <c r="AE844" s="1"/>
      <c r="AF844" s="1"/>
      <c r="AG844" s="1"/>
    </row>
    <row r="845" spans="31:33" ht="15.75" customHeight="1" x14ac:dyDescent="0.2">
      <c r="AE845" s="1"/>
      <c r="AF845" s="1"/>
      <c r="AG845" s="1"/>
    </row>
    <row r="846" spans="31:33" ht="15.75" customHeight="1" x14ac:dyDescent="0.2">
      <c r="AE846" s="1"/>
      <c r="AF846" s="1"/>
      <c r="AG846" s="1"/>
    </row>
    <row r="847" spans="31:33" ht="15.75" customHeight="1" x14ac:dyDescent="0.2">
      <c r="AE847" s="1"/>
      <c r="AF847" s="1"/>
      <c r="AG847" s="1"/>
    </row>
    <row r="848" spans="31:33" ht="15.75" customHeight="1" x14ac:dyDescent="0.2">
      <c r="AE848" s="1"/>
      <c r="AF848" s="1"/>
      <c r="AG848" s="1"/>
    </row>
    <row r="849" spans="31:33" ht="15.75" customHeight="1" x14ac:dyDescent="0.2">
      <c r="AE849" s="1"/>
      <c r="AF849" s="1"/>
      <c r="AG849" s="1"/>
    </row>
    <row r="850" spans="31:33" ht="15.75" customHeight="1" x14ac:dyDescent="0.2">
      <c r="AE850" s="1"/>
      <c r="AF850" s="1"/>
      <c r="AG850" s="1"/>
    </row>
    <row r="851" spans="31:33" ht="15.75" customHeight="1" x14ac:dyDescent="0.2">
      <c r="AE851" s="1"/>
      <c r="AF851" s="1"/>
      <c r="AG851" s="1"/>
    </row>
    <row r="852" spans="31:33" ht="15.75" customHeight="1" x14ac:dyDescent="0.2">
      <c r="AE852" s="1"/>
      <c r="AF852" s="1"/>
      <c r="AG852" s="1"/>
    </row>
    <row r="853" spans="31:33" ht="15.75" customHeight="1" x14ac:dyDescent="0.2">
      <c r="AE853" s="1"/>
      <c r="AF853" s="1"/>
      <c r="AG853" s="1"/>
    </row>
    <row r="854" spans="31:33" ht="15.75" customHeight="1" x14ac:dyDescent="0.2">
      <c r="AE854" s="1"/>
      <c r="AF854" s="1"/>
      <c r="AG854" s="1"/>
    </row>
    <row r="855" spans="31:33" ht="15.75" customHeight="1" x14ac:dyDescent="0.2">
      <c r="AE855" s="1"/>
      <c r="AF855" s="1"/>
      <c r="AG855" s="1"/>
    </row>
    <row r="856" spans="31:33" ht="15.75" customHeight="1" x14ac:dyDescent="0.2">
      <c r="AE856" s="1"/>
      <c r="AF856" s="1"/>
      <c r="AG856" s="1"/>
    </row>
    <row r="857" spans="31:33" ht="15.75" customHeight="1" x14ac:dyDescent="0.2">
      <c r="AE857" s="1"/>
      <c r="AF857" s="1"/>
      <c r="AG857" s="1"/>
    </row>
    <row r="858" spans="31:33" ht="15.75" customHeight="1" x14ac:dyDescent="0.2">
      <c r="AE858" s="1"/>
      <c r="AF858" s="1"/>
      <c r="AG858" s="1"/>
    </row>
    <row r="859" spans="31:33" ht="15.75" customHeight="1" x14ac:dyDescent="0.2">
      <c r="AE859" s="1"/>
      <c r="AF859" s="1"/>
      <c r="AG859" s="1"/>
    </row>
    <row r="860" spans="31:33" ht="15.75" customHeight="1" x14ac:dyDescent="0.2">
      <c r="AE860" s="1"/>
      <c r="AF860" s="1"/>
      <c r="AG860" s="1"/>
    </row>
    <row r="861" spans="31:33" ht="15.75" customHeight="1" x14ac:dyDescent="0.2">
      <c r="AE861" s="1"/>
      <c r="AF861" s="1"/>
      <c r="AG861" s="1"/>
    </row>
    <row r="862" spans="31:33" ht="15.75" customHeight="1" x14ac:dyDescent="0.2">
      <c r="AE862" s="1"/>
      <c r="AF862" s="1"/>
      <c r="AG862" s="1"/>
    </row>
    <row r="863" spans="31:33" ht="15.75" customHeight="1" x14ac:dyDescent="0.2">
      <c r="AE863" s="1"/>
      <c r="AF863" s="1"/>
      <c r="AG863" s="1"/>
    </row>
    <row r="864" spans="31:33" ht="15.75" customHeight="1" x14ac:dyDescent="0.2">
      <c r="AE864" s="1"/>
      <c r="AF864" s="1"/>
      <c r="AG864" s="1"/>
    </row>
    <row r="865" spans="31:33" ht="15.75" customHeight="1" x14ac:dyDescent="0.2">
      <c r="AE865" s="1"/>
      <c r="AF865" s="1"/>
      <c r="AG865" s="1"/>
    </row>
    <row r="866" spans="31:33" ht="15.75" customHeight="1" x14ac:dyDescent="0.2">
      <c r="AE866" s="1"/>
      <c r="AF866" s="1"/>
      <c r="AG866" s="1"/>
    </row>
    <row r="867" spans="31:33" ht="15.75" customHeight="1" x14ac:dyDescent="0.2">
      <c r="AE867" s="1"/>
      <c r="AF867" s="1"/>
      <c r="AG867" s="1"/>
    </row>
    <row r="868" spans="31:33" ht="15.75" customHeight="1" x14ac:dyDescent="0.2">
      <c r="AE868" s="1"/>
      <c r="AF868" s="1"/>
      <c r="AG868" s="1"/>
    </row>
    <row r="869" spans="31:33" ht="15.75" customHeight="1" x14ac:dyDescent="0.2">
      <c r="AE869" s="1"/>
      <c r="AF869" s="1"/>
      <c r="AG869" s="1"/>
    </row>
    <row r="870" spans="31:33" ht="15.75" customHeight="1" x14ac:dyDescent="0.2">
      <c r="AE870" s="1"/>
      <c r="AF870" s="1"/>
      <c r="AG870" s="1"/>
    </row>
    <row r="871" spans="31:33" ht="15.75" customHeight="1" x14ac:dyDescent="0.2">
      <c r="AE871" s="1"/>
      <c r="AF871" s="1"/>
      <c r="AG871" s="1"/>
    </row>
    <row r="872" spans="31:33" ht="15.75" customHeight="1" x14ac:dyDescent="0.2">
      <c r="AE872" s="1"/>
      <c r="AF872" s="1"/>
      <c r="AG872" s="1"/>
    </row>
    <row r="873" spans="31:33" ht="15.75" customHeight="1" x14ac:dyDescent="0.2">
      <c r="AE873" s="1"/>
      <c r="AF873" s="1"/>
      <c r="AG873" s="1"/>
    </row>
    <row r="874" spans="31:33" ht="15.75" customHeight="1" x14ac:dyDescent="0.2">
      <c r="AE874" s="1"/>
      <c r="AF874" s="1"/>
      <c r="AG874" s="1"/>
    </row>
    <row r="875" spans="31:33" ht="15.75" customHeight="1" x14ac:dyDescent="0.2">
      <c r="AE875" s="1"/>
      <c r="AF875" s="1"/>
      <c r="AG875" s="1"/>
    </row>
    <row r="876" spans="31:33" ht="15.75" customHeight="1" x14ac:dyDescent="0.2">
      <c r="AE876" s="1"/>
      <c r="AF876" s="1"/>
      <c r="AG876" s="1"/>
    </row>
    <row r="877" spans="31:33" ht="15.75" customHeight="1" x14ac:dyDescent="0.2">
      <c r="AE877" s="1"/>
      <c r="AF877" s="1"/>
      <c r="AG877" s="1"/>
    </row>
    <row r="878" spans="31:33" ht="15.75" customHeight="1" x14ac:dyDescent="0.2">
      <c r="AE878" s="1"/>
      <c r="AF878" s="1"/>
      <c r="AG878" s="1"/>
    </row>
    <row r="879" spans="31:33" ht="15.75" customHeight="1" x14ac:dyDescent="0.2">
      <c r="AE879" s="1"/>
      <c r="AF879" s="1"/>
      <c r="AG879" s="1"/>
    </row>
    <row r="880" spans="31:33" ht="15.75" customHeight="1" x14ac:dyDescent="0.2">
      <c r="AE880" s="1"/>
      <c r="AF880" s="1"/>
      <c r="AG880" s="1"/>
    </row>
    <row r="881" spans="31:33" ht="15.75" customHeight="1" x14ac:dyDescent="0.2">
      <c r="AE881" s="1"/>
      <c r="AF881" s="1"/>
      <c r="AG881" s="1"/>
    </row>
    <row r="882" spans="31:33" ht="15.75" customHeight="1" x14ac:dyDescent="0.2">
      <c r="AE882" s="1"/>
      <c r="AF882" s="1"/>
      <c r="AG882" s="1"/>
    </row>
    <row r="883" spans="31:33" ht="15.75" customHeight="1" x14ac:dyDescent="0.2">
      <c r="AE883" s="1"/>
      <c r="AF883" s="1"/>
      <c r="AG883" s="1"/>
    </row>
    <row r="884" spans="31:33" ht="15.75" customHeight="1" x14ac:dyDescent="0.2">
      <c r="AE884" s="1"/>
      <c r="AF884" s="1"/>
      <c r="AG884" s="1"/>
    </row>
    <row r="885" spans="31:33" ht="15.75" customHeight="1" x14ac:dyDescent="0.2">
      <c r="AE885" s="1"/>
      <c r="AF885" s="1"/>
      <c r="AG885" s="1"/>
    </row>
    <row r="886" spans="31:33" ht="15.75" customHeight="1" x14ac:dyDescent="0.2">
      <c r="AE886" s="1"/>
      <c r="AF886" s="1"/>
      <c r="AG886" s="1"/>
    </row>
    <row r="887" spans="31:33" ht="15.75" customHeight="1" x14ac:dyDescent="0.2">
      <c r="AE887" s="1"/>
      <c r="AF887" s="1"/>
      <c r="AG887" s="1"/>
    </row>
    <row r="888" spans="31:33" ht="15.75" customHeight="1" x14ac:dyDescent="0.2">
      <c r="AE888" s="1"/>
      <c r="AF888" s="1"/>
      <c r="AG888" s="1"/>
    </row>
    <row r="889" spans="31:33" ht="15.75" customHeight="1" x14ac:dyDescent="0.2">
      <c r="AE889" s="1"/>
      <c r="AF889" s="1"/>
      <c r="AG889" s="1"/>
    </row>
    <row r="890" spans="31:33" ht="15.75" customHeight="1" x14ac:dyDescent="0.2">
      <c r="AE890" s="1"/>
      <c r="AF890" s="1"/>
      <c r="AG890" s="1"/>
    </row>
    <row r="891" spans="31:33" ht="15.75" customHeight="1" x14ac:dyDescent="0.2">
      <c r="AE891" s="1"/>
      <c r="AF891" s="1"/>
      <c r="AG891" s="1"/>
    </row>
    <row r="892" spans="31:33" ht="15.75" customHeight="1" x14ac:dyDescent="0.2">
      <c r="AE892" s="1"/>
      <c r="AF892" s="1"/>
      <c r="AG892" s="1"/>
    </row>
    <row r="893" spans="31:33" ht="15.75" customHeight="1" x14ac:dyDescent="0.2">
      <c r="AE893" s="1"/>
      <c r="AF893" s="1"/>
      <c r="AG893" s="1"/>
    </row>
    <row r="894" spans="31:33" ht="15.75" customHeight="1" x14ac:dyDescent="0.2">
      <c r="AE894" s="1"/>
      <c r="AF894" s="1"/>
      <c r="AG894" s="1"/>
    </row>
    <row r="895" spans="31:33" ht="15.75" customHeight="1" x14ac:dyDescent="0.2">
      <c r="AE895" s="1"/>
      <c r="AF895" s="1"/>
      <c r="AG895" s="1"/>
    </row>
    <row r="896" spans="31:33" ht="15.75" customHeight="1" x14ac:dyDescent="0.2">
      <c r="AE896" s="1"/>
      <c r="AF896" s="1"/>
      <c r="AG896" s="1"/>
    </row>
    <row r="897" spans="31:33" ht="15.75" customHeight="1" x14ac:dyDescent="0.2">
      <c r="AE897" s="1"/>
      <c r="AF897" s="1"/>
      <c r="AG897" s="1"/>
    </row>
    <row r="898" spans="31:33" ht="15.75" customHeight="1" x14ac:dyDescent="0.2">
      <c r="AE898" s="1"/>
      <c r="AF898" s="1"/>
      <c r="AG898" s="1"/>
    </row>
    <row r="899" spans="31:33" ht="15.75" customHeight="1" x14ac:dyDescent="0.2">
      <c r="AE899" s="1"/>
      <c r="AF899" s="1"/>
      <c r="AG899" s="1"/>
    </row>
    <row r="900" spans="31:33" ht="15.75" customHeight="1" x14ac:dyDescent="0.2">
      <c r="AE900" s="1"/>
      <c r="AF900" s="1"/>
      <c r="AG900" s="1"/>
    </row>
    <row r="901" spans="31:33" ht="15.75" customHeight="1" x14ac:dyDescent="0.2">
      <c r="AE901" s="1"/>
      <c r="AF901" s="1"/>
      <c r="AG901" s="1"/>
    </row>
    <row r="902" spans="31:33" ht="15.75" customHeight="1" x14ac:dyDescent="0.2">
      <c r="AE902" s="1"/>
      <c r="AF902" s="1"/>
      <c r="AG902" s="1"/>
    </row>
    <row r="903" spans="31:33" ht="15.75" customHeight="1" x14ac:dyDescent="0.2">
      <c r="AE903" s="1"/>
      <c r="AF903" s="1"/>
      <c r="AG903" s="1"/>
    </row>
    <row r="904" spans="31:33" ht="15.75" customHeight="1" x14ac:dyDescent="0.2">
      <c r="AE904" s="1"/>
      <c r="AF904" s="1"/>
      <c r="AG904" s="1"/>
    </row>
    <row r="905" spans="31:33" ht="15.75" customHeight="1" x14ac:dyDescent="0.2">
      <c r="AE905" s="1"/>
      <c r="AF905" s="1"/>
      <c r="AG905" s="1"/>
    </row>
    <row r="906" spans="31:33" ht="15.75" customHeight="1" x14ac:dyDescent="0.2">
      <c r="AE906" s="1"/>
      <c r="AF906" s="1"/>
      <c r="AG906" s="1"/>
    </row>
    <row r="907" spans="31:33" ht="15.75" customHeight="1" x14ac:dyDescent="0.2">
      <c r="AE907" s="1"/>
      <c r="AF907" s="1"/>
      <c r="AG907" s="1"/>
    </row>
    <row r="908" spans="31:33" ht="15.75" customHeight="1" x14ac:dyDescent="0.2">
      <c r="AE908" s="1"/>
      <c r="AF908" s="1"/>
      <c r="AG908" s="1"/>
    </row>
    <row r="909" spans="31:33" ht="15.75" customHeight="1" x14ac:dyDescent="0.2">
      <c r="AE909" s="1"/>
      <c r="AF909" s="1"/>
      <c r="AG909" s="1"/>
    </row>
    <row r="910" spans="31:33" ht="15.75" customHeight="1" x14ac:dyDescent="0.2">
      <c r="AE910" s="1"/>
      <c r="AF910" s="1"/>
      <c r="AG910" s="1"/>
    </row>
    <row r="911" spans="31:33" ht="15.75" customHeight="1" x14ac:dyDescent="0.2">
      <c r="AE911" s="1"/>
      <c r="AF911" s="1"/>
      <c r="AG911" s="1"/>
    </row>
    <row r="912" spans="31:33" ht="15.75" customHeight="1" x14ac:dyDescent="0.2">
      <c r="AE912" s="1"/>
      <c r="AF912" s="1"/>
      <c r="AG912" s="1"/>
    </row>
    <row r="913" spans="31:33" ht="15.75" customHeight="1" x14ac:dyDescent="0.2">
      <c r="AE913" s="1"/>
      <c r="AF913" s="1"/>
      <c r="AG913" s="1"/>
    </row>
    <row r="914" spans="31:33" ht="15.75" customHeight="1" x14ac:dyDescent="0.2">
      <c r="AE914" s="1"/>
      <c r="AF914" s="1"/>
      <c r="AG914" s="1"/>
    </row>
    <row r="915" spans="31:33" ht="15.75" customHeight="1" x14ac:dyDescent="0.2">
      <c r="AE915" s="1"/>
      <c r="AF915" s="1"/>
      <c r="AG915" s="1"/>
    </row>
    <row r="916" spans="31:33" ht="15.75" customHeight="1" x14ac:dyDescent="0.2">
      <c r="AE916" s="1"/>
      <c r="AF916" s="1"/>
      <c r="AG916" s="1"/>
    </row>
    <row r="917" spans="31:33" ht="15.75" customHeight="1" x14ac:dyDescent="0.2">
      <c r="AE917" s="1"/>
      <c r="AF917" s="1"/>
      <c r="AG917" s="1"/>
    </row>
    <row r="918" spans="31:33" ht="15.75" customHeight="1" x14ac:dyDescent="0.2">
      <c r="AE918" s="1"/>
      <c r="AF918" s="1"/>
      <c r="AG918" s="1"/>
    </row>
    <row r="919" spans="31:33" ht="15.75" customHeight="1" x14ac:dyDescent="0.2">
      <c r="AE919" s="1"/>
      <c r="AF919" s="1"/>
      <c r="AG919" s="1"/>
    </row>
    <row r="920" spans="31:33" ht="15.75" customHeight="1" x14ac:dyDescent="0.2">
      <c r="AE920" s="1"/>
      <c r="AF920" s="1"/>
      <c r="AG920" s="1"/>
    </row>
    <row r="921" spans="31:33" ht="15.75" customHeight="1" x14ac:dyDescent="0.2">
      <c r="AE921" s="1"/>
      <c r="AF921" s="1"/>
      <c r="AG921" s="1"/>
    </row>
    <row r="922" spans="31:33" ht="15.75" customHeight="1" x14ac:dyDescent="0.2">
      <c r="AE922" s="1"/>
      <c r="AF922" s="1"/>
      <c r="AG922" s="1"/>
    </row>
    <row r="923" spans="31:33" ht="15.75" customHeight="1" x14ac:dyDescent="0.2">
      <c r="AE923" s="1"/>
      <c r="AF923" s="1"/>
      <c r="AG923" s="1"/>
    </row>
    <row r="924" spans="31:33" ht="15.75" customHeight="1" x14ac:dyDescent="0.2">
      <c r="AE924" s="1"/>
      <c r="AF924" s="1"/>
      <c r="AG924" s="1"/>
    </row>
    <row r="925" spans="31:33" ht="15.75" customHeight="1" x14ac:dyDescent="0.2">
      <c r="AE925" s="1"/>
      <c r="AF925" s="1"/>
      <c r="AG925" s="1"/>
    </row>
    <row r="926" spans="31:33" ht="15.75" customHeight="1" x14ac:dyDescent="0.2">
      <c r="AE926" s="1"/>
      <c r="AF926" s="1"/>
      <c r="AG926" s="1"/>
    </row>
    <row r="927" spans="31:33" ht="15.75" customHeight="1" x14ac:dyDescent="0.2">
      <c r="AE927" s="1"/>
      <c r="AF927" s="1"/>
      <c r="AG927" s="1"/>
    </row>
    <row r="928" spans="31:33" ht="15.75" customHeight="1" x14ac:dyDescent="0.2">
      <c r="AE928" s="1"/>
      <c r="AF928" s="1"/>
      <c r="AG928" s="1"/>
    </row>
    <row r="929" spans="31:33" ht="15.75" customHeight="1" x14ac:dyDescent="0.2">
      <c r="AE929" s="1"/>
      <c r="AF929" s="1"/>
      <c r="AG929" s="1"/>
    </row>
    <row r="930" spans="31:33" ht="15.75" customHeight="1" x14ac:dyDescent="0.2">
      <c r="AE930" s="1"/>
      <c r="AF930" s="1"/>
      <c r="AG930" s="1"/>
    </row>
    <row r="931" spans="31:33" ht="15.75" customHeight="1" x14ac:dyDescent="0.2">
      <c r="AE931" s="1"/>
      <c r="AF931" s="1"/>
      <c r="AG931" s="1"/>
    </row>
    <row r="932" spans="31:33" ht="15.75" customHeight="1" x14ac:dyDescent="0.2">
      <c r="AE932" s="1"/>
      <c r="AF932" s="1"/>
      <c r="AG932" s="1"/>
    </row>
    <row r="933" spans="31:33" ht="15.75" customHeight="1" x14ac:dyDescent="0.2">
      <c r="AE933" s="1"/>
      <c r="AF933" s="1"/>
      <c r="AG933" s="1"/>
    </row>
    <row r="934" spans="31:33" ht="15.75" customHeight="1" x14ac:dyDescent="0.2">
      <c r="AE934" s="1"/>
      <c r="AF934" s="1"/>
      <c r="AG934" s="1"/>
    </row>
    <row r="935" spans="31:33" ht="15.75" customHeight="1" x14ac:dyDescent="0.2">
      <c r="AE935" s="1"/>
      <c r="AF935" s="1"/>
      <c r="AG935" s="1"/>
    </row>
    <row r="936" spans="31:33" ht="15.75" customHeight="1" x14ac:dyDescent="0.2">
      <c r="AE936" s="1"/>
      <c r="AF936" s="1"/>
      <c r="AG936" s="1"/>
    </row>
    <row r="937" spans="31:33" ht="15.75" customHeight="1" x14ac:dyDescent="0.2">
      <c r="AE937" s="1"/>
      <c r="AF937" s="1"/>
      <c r="AG937" s="1"/>
    </row>
    <row r="938" spans="31:33" ht="15.75" customHeight="1" x14ac:dyDescent="0.2">
      <c r="AE938" s="1"/>
      <c r="AF938" s="1"/>
      <c r="AG938" s="1"/>
    </row>
    <row r="939" spans="31:33" ht="15.75" customHeight="1" x14ac:dyDescent="0.2">
      <c r="AE939" s="1"/>
      <c r="AF939" s="1"/>
      <c r="AG939" s="1"/>
    </row>
    <row r="940" spans="31:33" ht="15.75" customHeight="1" x14ac:dyDescent="0.2">
      <c r="AE940" s="1"/>
      <c r="AF940" s="1"/>
      <c r="AG940" s="1"/>
    </row>
    <row r="941" spans="31:33" ht="15.75" customHeight="1" x14ac:dyDescent="0.2">
      <c r="AE941" s="1"/>
      <c r="AF941" s="1"/>
      <c r="AG941" s="1"/>
    </row>
    <row r="942" spans="31:33" ht="15.75" customHeight="1" x14ac:dyDescent="0.2">
      <c r="AE942" s="1"/>
      <c r="AF942" s="1"/>
      <c r="AG942" s="1"/>
    </row>
    <row r="943" spans="31:33" ht="15.75" customHeight="1" x14ac:dyDescent="0.2">
      <c r="AE943" s="1"/>
      <c r="AF943" s="1"/>
      <c r="AG943" s="1"/>
    </row>
    <row r="944" spans="31:33" ht="15.75" customHeight="1" x14ac:dyDescent="0.2">
      <c r="AE944" s="1"/>
      <c r="AF944" s="1"/>
      <c r="AG944" s="1"/>
    </row>
    <row r="945" spans="31:33" ht="15.75" customHeight="1" x14ac:dyDescent="0.2">
      <c r="AE945" s="1"/>
      <c r="AF945" s="1"/>
      <c r="AG945" s="1"/>
    </row>
    <row r="946" spans="31:33" ht="15.75" customHeight="1" x14ac:dyDescent="0.2">
      <c r="AE946" s="1"/>
      <c r="AF946" s="1"/>
      <c r="AG946" s="1"/>
    </row>
    <row r="947" spans="31:33" ht="15.75" customHeight="1" x14ac:dyDescent="0.2">
      <c r="AE947" s="1"/>
      <c r="AF947" s="1"/>
      <c r="AG947" s="1"/>
    </row>
    <row r="948" spans="31:33" ht="15.75" customHeight="1" x14ac:dyDescent="0.2">
      <c r="AE948" s="1"/>
      <c r="AF948" s="1"/>
      <c r="AG948" s="1"/>
    </row>
    <row r="949" spans="31:33" ht="15.75" customHeight="1" x14ac:dyDescent="0.2">
      <c r="AE949" s="1"/>
      <c r="AF949" s="1"/>
      <c r="AG949" s="1"/>
    </row>
    <row r="950" spans="31:33" ht="15.75" customHeight="1" x14ac:dyDescent="0.2">
      <c r="AE950" s="1"/>
      <c r="AF950" s="1"/>
      <c r="AG950" s="1"/>
    </row>
    <row r="951" spans="31:33" ht="15.75" customHeight="1" x14ac:dyDescent="0.2">
      <c r="AE951" s="1"/>
      <c r="AF951" s="1"/>
      <c r="AG951" s="1"/>
    </row>
    <row r="952" spans="31:33" ht="15.75" customHeight="1" x14ac:dyDescent="0.2">
      <c r="AE952" s="1"/>
      <c r="AF952" s="1"/>
      <c r="AG952" s="1"/>
    </row>
    <row r="953" spans="31:33" ht="15.75" customHeight="1" x14ac:dyDescent="0.2">
      <c r="AE953" s="1"/>
      <c r="AF953" s="1"/>
      <c r="AG953" s="1"/>
    </row>
    <row r="954" spans="31:33" ht="15.75" customHeight="1" x14ac:dyDescent="0.2">
      <c r="AE954" s="1"/>
      <c r="AF954" s="1"/>
      <c r="AG954" s="1"/>
    </row>
    <row r="955" spans="31:33" ht="15.75" customHeight="1" x14ac:dyDescent="0.2">
      <c r="AE955" s="1"/>
      <c r="AF955" s="1"/>
      <c r="AG955" s="1"/>
    </row>
    <row r="956" spans="31:33" ht="15.75" customHeight="1" x14ac:dyDescent="0.2">
      <c r="AE956" s="1"/>
      <c r="AF956" s="1"/>
      <c r="AG956" s="1"/>
    </row>
    <row r="957" spans="31:33" ht="15.75" customHeight="1" x14ac:dyDescent="0.2">
      <c r="AE957" s="1"/>
      <c r="AF957" s="1"/>
      <c r="AG957" s="1"/>
    </row>
    <row r="958" spans="31:33" ht="15.75" customHeight="1" x14ac:dyDescent="0.2">
      <c r="AE958" s="1"/>
      <c r="AF958" s="1"/>
      <c r="AG958" s="1"/>
    </row>
    <row r="959" spans="31:33" ht="15.75" customHeight="1" x14ac:dyDescent="0.2">
      <c r="AE959" s="1"/>
      <c r="AF959" s="1"/>
      <c r="AG959" s="1"/>
    </row>
    <row r="960" spans="31:33" ht="15.75" customHeight="1" x14ac:dyDescent="0.2">
      <c r="AE960" s="1"/>
      <c r="AF960" s="1"/>
      <c r="AG960" s="1"/>
    </row>
    <row r="961" spans="31:33" ht="15.75" customHeight="1" x14ac:dyDescent="0.2">
      <c r="AE961" s="1"/>
      <c r="AF961" s="1"/>
      <c r="AG961" s="1"/>
    </row>
    <row r="962" spans="31:33" ht="15.75" customHeight="1" x14ac:dyDescent="0.2">
      <c r="AE962" s="1"/>
      <c r="AF962" s="1"/>
      <c r="AG962" s="1"/>
    </row>
    <row r="963" spans="31:33" ht="15.75" customHeight="1" x14ac:dyDescent="0.2">
      <c r="AE963" s="1"/>
      <c r="AF963" s="1"/>
      <c r="AG963" s="1"/>
    </row>
    <row r="964" spans="31:33" ht="15.75" customHeight="1" x14ac:dyDescent="0.2">
      <c r="AE964" s="1"/>
      <c r="AF964" s="1"/>
      <c r="AG964" s="1"/>
    </row>
    <row r="965" spans="31:33" ht="15.75" customHeight="1" x14ac:dyDescent="0.2">
      <c r="AE965" s="1"/>
      <c r="AF965" s="1"/>
      <c r="AG965" s="1"/>
    </row>
    <row r="966" spans="31:33" ht="15.75" customHeight="1" x14ac:dyDescent="0.2">
      <c r="AE966" s="1"/>
      <c r="AF966" s="1"/>
      <c r="AG966" s="1"/>
    </row>
    <row r="967" spans="31:33" ht="15.75" customHeight="1" x14ac:dyDescent="0.2">
      <c r="AE967" s="1"/>
      <c r="AF967" s="1"/>
      <c r="AG967" s="1"/>
    </row>
    <row r="968" spans="31:33" ht="15.75" customHeight="1" x14ac:dyDescent="0.2">
      <c r="AE968" s="1"/>
      <c r="AF968" s="1"/>
      <c r="AG968" s="1"/>
    </row>
    <row r="969" spans="31:33" ht="15.75" customHeight="1" x14ac:dyDescent="0.2">
      <c r="AE969" s="1"/>
      <c r="AF969" s="1"/>
      <c r="AG969" s="1"/>
    </row>
    <row r="970" spans="31:33" ht="15.75" customHeight="1" x14ac:dyDescent="0.2">
      <c r="AE970" s="1"/>
      <c r="AF970" s="1"/>
      <c r="AG970" s="1"/>
    </row>
    <row r="971" spans="31:33" ht="15.75" customHeight="1" x14ac:dyDescent="0.2">
      <c r="AE971" s="1"/>
      <c r="AF971" s="1"/>
      <c r="AG971" s="1"/>
    </row>
    <row r="972" spans="31:33" ht="15.75" customHeight="1" x14ac:dyDescent="0.2">
      <c r="AE972" s="1"/>
      <c r="AF972" s="1"/>
      <c r="AG972" s="1"/>
    </row>
    <row r="973" spans="31:33" ht="15.75" customHeight="1" x14ac:dyDescent="0.2">
      <c r="AE973" s="1"/>
      <c r="AF973" s="1"/>
      <c r="AG973" s="1"/>
    </row>
    <row r="974" spans="31:33" ht="15.75" customHeight="1" x14ac:dyDescent="0.2">
      <c r="AE974" s="1"/>
      <c r="AF974" s="1"/>
      <c r="AG974" s="1"/>
    </row>
    <row r="975" spans="31:33" ht="15.75" customHeight="1" x14ac:dyDescent="0.2">
      <c r="AE975" s="1"/>
      <c r="AF975" s="1"/>
      <c r="AG975" s="1"/>
    </row>
    <row r="976" spans="31:33" ht="15.75" customHeight="1" x14ac:dyDescent="0.2">
      <c r="AE976" s="1"/>
      <c r="AF976" s="1"/>
      <c r="AG976" s="1"/>
    </row>
    <row r="977" spans="31:33" ht="15.75" customHeight="1" x14ac:dyDescent="0.2">
      <c r="AE977" s="1"/>
      <c r="AF977" s="1"/>
      <c r="AG977" s="1"/>
    </row>
    <row r="978" spans="31:33" ht="15.75" customHeight="1" x14ac:dyDescent="0.2">
      <c r="AE978" s="1"/>
      <c r="AF978" s="1"/>
      <c r="AG978" s="1"/>
    </row>
    <row r="979" spans="31:33" ht="15.75" customHeight="1" x14ac:dyDescent="0.2">
      <c r="AE979" s="1"/>
      <c r="AF979" s="1"/>
      <c r="AG979" s="1"/>
    </row>
    <row r="980" spans="31:33" ht="15.75" customHeight="1" x14ac:dyDescent="0.2">
      <c r="AE980" s="1"/>
      <c r="AF980" s="1"/>
      <c r="AG980" s="1"/>
    </row>
    <row r="981" spans="31:33" ht="15.75" customHeight="1" x14ac:dyDescent="0.2">
      <c r="AE981" s="1"/>
      <c r="AF981" s="1"/>
      <c r="AG981" s="1"/>
    </row>
    <row r="982" spans="31:33" ht="15.75" customHeight="1" x14ac:dyDescent="0.2">
      <c r="AE982" s="1"/>
      <c r="AF982" s="1"/>
      <c r="AG982" s="1"/>
    </row>
    <row r="983" spans="31:33" ht="15.75" customHeight="1" x14ac:dyDescent="0.2">
      <c r="AE983" s="1"/>
      <c r="AF983" s="1"/>
      <c r="AG983" s="1"/>
    </row>
    <row r="984" spans="31:33" ht="15.75" customHeight="1" x14ac:dyDescent="0.2">
      <c r="AE984" s="1"/>
      <c r="AF984" s="1"/>
      <c r="AG984" s="1"/>
    </row>
    <row r="985" spans="31:33" ht="15.75" customHeight="1" x14ac:dyDescent="0.2">
      <c r="AE985" s="1"/>
      <c r="AF985" s="1"/>
      <c r="AG985" s="1"/>
    </row>
    <row r="986" spans="31:33" ht="15.75" customHeight="1" x14ac:dyDescent="0.2">
      <c r="AE986" s="1"/>
      <c r="AF986" s="1"/>
      <c r="AG986" s="1"/>
    </row>
    <row r="987" spans="31:33" ht="15.75" customHeight="1" x14ac:dyDescent="0.2">
      <c r="AE987" s="1"/>
      <c r="AF987" s="1"/>
      <c r="AG987" s="1"/>
    </row>
    <row r="988" spans="31:33" ht="15.75" customHeight="1" x14ac:dyDescent="0.2">
      <c r="AE988" s="1"/>
      <c r="AF988" s="1"/>
      <c r="AG988" s="1"/>
    </row>
    <row r="989" spans="31:33" ht="15.75" customHeight="1" x14ac:dyDescent="0.2">
      <c r="AE989" s="1"/>
      <c r="AF989" s="1"/>
      <c r="AG989" s="1"/>
    </row>
    <row r="990" spans="31:33" ht="15.75" customHeight="1" x14ac:dyDescent="0.2">
      <c r="AE990" s="1"/>
      <c r="AF990" s="1"/>
      <c r="AG990" s="1"/>
    </row>
    <row r="991" spans="31:33" ht="15.75" customHeight="1" x14ac:dyDescent="0.2">
      <c r="AE991" s="1"/>
      <c r="AF991" s="1"/>
      <c r="AG991" s="1"/>
    </row>
    <row r="992" spans="31:33" ht="15.75" customHeight="1" x14ac:dyDescent="0.2">
      <c r="AE992" s="1"/>
      <c r="AF992" s="1"/>
      <c r="AG992" s="1"/>
    </row>
    <row r="993" spans="31:33" ht="15.75" customHeight="1" x14ac:dyDescent="0.2">
      <c r="AE993" s="1"/>
      <c r="AF993" s="1"/>
      <c r="AG993" s="1"/>
    </row>
    <row r="994" spans="31:33" ht="15.75" customHeight="1" x14ac:dyDescent="0.2">
      <c r="AE994" s="1"/>
      <c r="AF994" s="1"/>
      <c r="AG994" s="1"/>
    </row>
    <row r="995" spans="31:33" ht="15.75" customHeight="1" x14ac:dyDescent="0.2">
      <c r="AE995" s="1"/>
      <c r="AF995" s="1"/>
      <c r="AG995" s="1"/>
    </row>
    <row r="996" spans="31:33" ht="15.75" customHeight="1" x14ac:dyDescent="0.2">
      <c r="AE996" s="1"/>
      <c r="AF996" s="1"/>
      <c r="AG996" s="1"/>
    </row>
    <row r="997" spans="31:33" ht="15.75" customHeight="1" x14ac:dyDescent="0.2">
      <c r="AE997" s="1"/>
      <c r="AF997" s="1"/>
      <c r="AG997" s="1"/>
    </row>
    <row r="998" spans="31:33" ht="15.75" customHeight="1" x14ac:dyDescent="0.2">
      <c r="AE998" s="1"/>
      <c r="AF998" s="1"/>
      <c r="AG998" s="1"/>
    </row>
    <row r="999" spans="31:33" ht="15.75" customHeight="1" x14ac:dyDescent="0.2">
      <c r="AE999" s="1"/>
      <c r="AF999" s="1"/>
      <c r="AG999" s="1"/>
    </row>
    <row r="1000" spans="31:33" ht="15.75" customHeight="1" x14ac:dyDescent="0.2">
      <c r="AE1000" s="1"/>
      <c r="AF1000" s="1"/>
      <c r="AG1000" s="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4.5" defaultRowHeight="15" customHeight="1" x14ac:dyDescent="0.2"/>
  <cols>
    <col min="1" max="1" width="18.1640625" customWidth="1"/>
    <col min="2" max="2" width="10.1640625" customWidth="1"/>
    <col min="3" max="3" width="11.1640625" customWidth="1"/>
    <col min="4" max="4" width="10.33203125" customWidth="1"/>
    <col min="5" max="5" width="10.83203125" customWidth="1"/>
    <col min="6" max="6" width="12.83203125" customWidth="1"/>
    <col min="7" max="7" width="10.6640625" customWidth="1"/>
    <col min="8" max="8" width="11.33203125" customWidth="1"/>
    <col min="9" max="9" width="11" customWidth="1"/>
    <col min="10" max="10" width="11.5" customWidth="1"/>
    <col min="11" max="11" width="11.1640625" customWidth="1"/>
    <col min="12" max="12" width="12.5" customWidth="1"/>
    <col min="13" max="13" width="10.6640625" customWidth="1"/>
    <col min="14" max="14" width="10.83203125" customWidth="1"/>
    <col min="15" max="16" width="10.5" customWidth="1"/>
    <col min="17" max="17" width="10.83203125" customWidth="1"/>
    <col min="18" max="18" width="11" customWidth="1"/>
    <col min="19" max="19" width="9.83203125" customWidth="1"/>
    <col min="20" max="21" width="11.33203125" customWidth="1"/>
    <col min="22" max="23" width="10.5" customWidth="1"/>
    <col min="24" max="24" width="11" customWidth="1"/>
    <col min="25" max="25" width="11.1640625" customWidth="1"/>
    <col min="26" max="26" width="11.33203125" customWidth="1"/>
    <col min="27" max="27" width="10.5" customWidth="1"/>
    <col min="28" max="28" width="8.6640625" customWidth="1"/>
    <col min="29" max="29" width="11.6640625" customWidth="1"/>
    <col min="30" max="30" width="8.6640625" customWidth="1"/>
    <col min="32" max="32" width="12.5" customWidth="1"/>
    <col min="33" max="33" width="11.1640625" customWidth="1"/>
    <col min="34" max="71" width="8.6640625" customWidth="1"/>
  </cols>
  <sheetData>
    <row r="1" spans="1:65" x14ac:dyDescent="0.2">
      <c r="A1" s="4" t="s">
        <v>89</v>
      </c>
      <c r="B1" s="6"/>
      <c r="E1" s="3"/>
      <c r="G1" s="3"/>
      <c r="I1" s="3"/>
      <c r="K1" s="3"/>
      <c r="M1" s="3"/>
      <c r="N1" s="4" t="s">
        <v>90</v>
      </c>
      <c r="P1" s="9" t="s">
        <v>91</v>
      </c>
      <c r="S1" s="74" t="s">
        <v>92</v>
      </c>
      <c r="V1" s="4" t="s">
        <v>93</v>
      </c>
      <c r="Z1" s="4" t="s">
        <v>94</v>
      </c>
      <c r="AE1" s="1"/>
      <c r="AF1" s="1"/>
      <c r="AG1" s="1"/>
      <c r="AH1" s="44" t="s">
        <v>15</v>
      </c>
      <c r="AM1" s="45" t="s">
        <v>14</v>
      </c>
      <c r="AN1" s="48" t="s">
        <v>59</v>
      </c>
      <c r="AO1" s="48" t="s">
        <v>59</v>
      </c>
      <c r="AP1" s="48" t="s">
        <v>60</v>
      </c>
      <c r="AQ1" s="49" t="s">
        <v>61</v>
      </c>
      <c r="AT1" s="1" t="s">
        <v>75</v>
      </c>
    </row>
    <row r="2" spans="1:65" x14ac:dyDescent="0.2">
      <c r="A2" s="4" t="s">
        <v>95</v>
      </c>
      <c r="B2" s="6"/>
      <c r="E2" s="3"/>
      <c r="G2" s="3"/>
      <c r="I2" s="3"/>
      <c r="J2" s="11"/>
      <c r="K2" s="3"/>
      <c r="M2" s="3"/>
      <c r="N2" s="4" t="s">
        <v>96</v>
      </c>
      <c r="P2" s="4" t="s">
        <v>97</v>
      </c>
      <c r="S2" s="3"/>
      <c r="T2" s="4" t="s">
        <v>96</v>
      </c>
      <c r="X2" s="4" t="s">
        <v>98</v>
      </c>
      <c r="Z2" s="4" t="s">
        <v>96</v>
      </c>
      <c r="AC2" s="4" t="s">
        <v>3</v>
      </c>
      <c r="AE2" s="1" t="s">
        <v>50</v>
      </c>
      <c r="AF2" s="1"/>
      <c r="AG2" s="1"/>
      <c r="AH2" s="68"/>
      <c r="AI2" s="6"/>
      <c r="AJ2" s="6"/>
      <c r="AK2" s="6"/>
      <c r="AL2" s="6"/>
      <c r="AM2" s="46"/>
      <c r="AN2" s="1"/>
      <c r="AO2" s="1">
        <v>0</v>
      </c>
      <c r="AP2" s="1"/>
      <c r="AQ2" s="50">
        <f>13935.1-4031.8</f>
        <v>9903.2999999999993</v>
      </c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</row>
    <row r="3" spans="1:65" x14ac:dyDescent="0.2">
      <c r="B3" s="12" t="s">
        <v>1</v>
      </c>
      <c r="C3" s="13" t="s">
        <v>2</v>
      </c>
      <c r="D3" s="52">
        <v>43831</v>
      </c>
      <c r="E3" s="53"/>
      <c r="F3" s="52">
        <v>43862</v>
      </c>
      <c r="G3" s="53"/>
      <c r="H3" s="52">
        <v>43891</v>
      </c>
      <c r="I3" s="53"/>
      <c r="J3" s="52">
        <v>43922</v>
      </c>
      <c r="K3" s="53"/>
      <c r="L3" s="52">
        <v>43952</v>
      </c>
      <c r="M3" s="53"/>
      <c r="N3" s="52">
        <v>43983</v>
      </c>
      <c r="O3" s="75"/>
      <c r="P3" s="52">
        <v>44013</v>
      </c>
      <c r="Q3" s="53"/>
      <c r="R3" s="52">
        <v>44044</v>
      </c>
      <c r="S3" s="53"/>
      <c r="T3" s="52">
        <v>44075</v>
      </c>
      <c r="U3" s="53"/>
      <c r="V3" s="52">
        <v>44105</v>
      </c>
      <c r="W3" s="53"/>
      <c r="X3" s="52">
        <v>44136</v>
      </c>
      <c r="Y3" s="53"/>
      <c r="Z3" s="14">
        <v>44166</v>
      </c>
      <c r="AA3" s="15"/>
      <c r="AB3" s="3"/>
      <c r="AC3" s="4" t="s">
        <v>51</v>
      </c>
      <c r="AD3" s="4" t="s">
        <v>52</v>
      </c>
      <c r="AE3" s="1" t="s">
        <v>53</v>
      </c>
      <c r="AF3" s="1" t="s">
        <v>53</v>
      </c>
      <c r="AG3" s="1" t="s">
        <v>54</v>
      </c>
      <c r="AH3" s="64"/>
      <c r="AI3" s="76">
        <f>SUM(E3:AG3)</f>
        <v>484149</v>
      </c>
      <c r="AM3" s="46"/>
      <c r="AN3" s="1"/>
      <c r="AO3" s="1"/>
      <c r="AP3" s="1"/>
      <c r="AQ3" s="50"/>
    </row>
    <row r="4" spans="1:65" x14ac:dyDescent="0.2">
      <c r="B4" s="18"/>
      <c r="C4" s="19"/>
      <c r="D4" s="54"/>
      <c r="E4" s="55"/>
      <c r="F4" s="54"/>
      <c r="G4" s="55"/>
      <c r="H4" s="56"/>
      <c r="I4" s="55"/>
      <c r="J4" s="54"/>
      <c r="K4" s="55"/>
      <c r="L4" s="54"/>
      <c r="M4" s="55"/>
      <c r="N4" s="77"/>
      <c r="O4" s="78"/>
      <c r="P4" s="54"/>
      <c r="Q4" s="55"/>
      <c r="R4" s="54"/>
      <c r="S4" s="55"/>
      <c r="T4" s="54"/>
      <c r="U4" s="55"/>
      <c r="V4" s="54"/>
      <c r="W4" s="55"/>
      <c r="X4" s="54"/>
      <c r="Y4" s="55"/>
      <c r="Z4" s="20"/>
      <c r="AA4" s="21"/>
      <c r="AB4" s="3"/>
      <c r="AC4" s="4" t="s">
        <v>55</v>
      </c>
      <c r="AE4" s="1" t="s">
        <v>56</v>
      </c>
      <c r="AF4" s="1" t="s">
        <v>56</v>
      </c>
      <c r="AG4" s="1" t="s">
        <v>57</v>
      </c>
      <c r="AH4" s="67"/>
      <c r="AM4" s="45"/>
      <c r="AN4" s="48">
        <v>0</v>
      </c>
      <c r="AO4" s="48">
        <v>7208.72</v>
      </c>
      <c r="AP4" s="48">
        <f>-3800-2116.69</f>
        <v>-5916.6900000000005</v>
      </c>
      <c r="AQ4" s="49">
        <f>+AO2+AQ2+AO4+AN4+AP4</f>
        <v>11195.33</v>
      </c>
      <c r="AR4" s="30" t="s">
        <v>62</v>
      </c>
      <c r="AS4" s="30"/>
      <c r="AT4" s="49">
        <v>0</v>
      </c>
    </row>
    <row r="5" spans="1:65" x14ac:dyDescent="0.2">
      <c r="A5" s="25" t="s">
        <v>4</v>
      </c>
      <c r="B5" s="12">
        <v>1.04</v>
      </c>
      <c r="C5" s="13">
        <v>1700</v>
      </c>
      <c r="D5" s="26">
        <v>19226</v>
      </c>
      <c r="E5" s="27">
        <f>+D5/C5</f>
        <v>11.309411764705882</v>
      </c>
      <c r="F5" s="26">
        <f>+D5+D6</f>
        <v>17218</v>
      </c>
      <c r="G5" s="27">
        <f>+F5/C5</f>
        <v>10.128235294117648</v>
      </c>
      <c r="H5" s="26">
        <f>+F5+F6</f>
        <v>16834</v>
      </c>
      <c r="I5" s="27">
        <f>+H5/C5</f>
        <v>9.9023529411764706</v>
      </c>
      <c r="J5" s="26">
        <f>+H5+H6</f>
        <v>14394</v>
      </c>
      <c r="K5" s="27">
        <f>+J5/C5</f>
        <v>8.4670588235294115</v>
      </c>
      <c r="L5" s="26">
        <f>+J5+J6+9840-1252</f>
        <v>21598</v>
      </c>
      <c r="M5" s="27">
        <f>+L5/C5</f>
        <v>12.704705882352942</v>
      </c>
      <c r="N5" s="26">
        <f>+L5+L6-240</f>
        <v>18974</v>
      </c>
      <c r="O5" s="27">
        <f>+N5/C5</f>
        <v>11.161176470588236</v>
      </c>
      <c r="P5" s="26">
        <f>+N5+N6+1152</f>
        <v>16974</v>
      </c>
      <c r="Q5" s="27">
        <f>+P5/C5</f>
        <v>9.9847058823529409</v>
      </c>
      <c r="R5" s="26">
        <f>+P5+P6+6240</f>
        <v>22146</v>
      </c>
      <c r="S5" s="27">
        <f>+R5/C5</f>
        <v>13.027058823529412</v>
      </c>
      <c r="T5" s="26">
        <f>+R5+R6</f>
        <v>21378</v>
      </c>
      <c r="U5" s="27">
        <f>+T5/C5</f>
        <v>12.57529411764706</v>
      </c>
      <c r="V5" s="26">
        <f>+T5+T6</f>
        <v>18946</v>
      </c>
      <c r="W5" s="27">
        <f>+V5/C5</f>
        <v>11.144705882352941</v>
      </c>
      <c r="X5" s="26">
        <f>+V5+V6</f>
        <v>18158</v>
      </c>
      <c r="Y5" s="27">
        <f>+X5/C5</f>
        <v>10.681176470588236</v>
      </c>
      <c r="Z5" s="26">
        <f>+X5+X6</f>
        <v>16774</v>
      </c>
      <c r="AA5" s="27">
        <f>+Z5/C5</f>
        <v>9.8670588235294119</v>
      </c>
      <c r="AB5" s="58"/>
      <c r="AC5" s="59">
        <f>+C5*AA5</f>
        <v>16774</v>
      </c>
      <c r="AD5" s="13"/>
      <c r="AE5" s="1"/>
      <c r="AF5" s="1"/>
      <c r="AG5" s="1"/>
      <c r="AH5" s="37">
        <v>738</v>
      </c>
      <c r="AI5" s="3"/>
      <c r="AJ5" s="3"/>
      <c r="AK5" s="3"/>
      <c r="AL5" s="3"/>
      <c r="AM5" s="47">
        <f t="shared" ref="AM5:AN5" si="0">+F5+I5+L5+P5+S5+V5+Z5+AC5+AG5</f>
        <v>108306.92941176471</v>
      </c>
      <c r="AN5" s="31">
        <f t="shared" si="0"/>
        <v>36563.829411764709</v>
      </c>
      <c r="AO5" s="31">
        <f>+AO4+AM5</f>
        <v>115515.64941176471</v>
      </c>
      <c r="AP5" s="31">
        <v>-3800</v>
      </c>
      <c r="AQ5" s="37">
        <f>+AO5+AP5</f>
        <v>111715.64941176471</v>
      </c>
      <c r="AR5" s="32"/>
      <c r="AS5" s="32"/>
      <c r="AT5" s="37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65" x14ac:dyDescent="0.2">
      <c r="A6" s="28" t="s">
        <v>27</v>
      </c>
      <c r="B6" s="18">
        <v>0.8</v>
      </c>
      <c r="C6" s="43">
        <f>+(+D6+F6+H6+J6+L6+N6+P6+R6+T6+V6+X6+Z6)/12</f>
        <v>-1516</v>
      </c>
      <c r="D6" s="30">
        <v>-2008</v>
      </c>
      <c r="E6" s="31">
        <f>+B5*D6</f>
        <v>-2088.3200000000002</v>
      </c>
      <c r="F6" s="30">
        <v>-384</v>
      </c>
      <c r="G6" s="31">
        <f>+B5*F6</f>
        <v>-399.36</v>
      </c>
      <c r="H6" s="30">
        <v>-2440</v>
      </c>
      <c r="I6" s="31">
        <f>+B5*H6</f>
        <v>-2537.6</v>
      </c>
      <c r="J6" s="30">
        <v>-1384</v>
      </c>
      <c r="K6" s="31">
        <f>+B5*J6</f>
        <v>-1439.3600000000001</v>
      </c>
      <c r="L6" s="30">
        <v>-2384</v>
      </c>
      <c r="M6" s="31">
        <f>+B5*L6</f>
        <v>-2479.36</v>
      </c>
      <c r="N6" s="30">
        <v>-3152</v>
      </c>
      <c r="O6" s="31">
        <f>+B5*N6</f>
        <v>-3278.08</v>
      </c>
      <c r="P6" s="30">
        <v>-1068</v>
      </c>
      <c r="Q6" s="31">
        <f>+B5*P6</f>
        <v>-1110.72</v>
      </c>
      <c r="R6" s="30">
        <v>-768</v>
      </c>
      <c r="S6" s="31">
        <f>+B5*R6</f>
        <v>-798.72</v>
      </c>
      <c r="T6" s="30">
        <v>-2432</v>
      </c>
      <c r="U6" s="31">
        <f>+B5*T6</f>
        <v>-2529.2800000000002</v>
      </c>
      <c r="V6" s="30">
        <v>-788</v>
      </c>
      <c r="W6" s="31">
        <f>+B5*V6</f>
        <v>-819.52</v>
      </c>
      <c r="X6" s="30">
        <v>-1384</v>
      </c>
      <c r="Y6" s="31">
        <f>+B5*X6</f>
        <v>-1439.3600000000001</v>
      </c>
      <c r="Z6" s="30">
        <v>0</v>
      </c>
      <c r="AA6" s="31">
        <f>+B5*Z6</f>
        <v>0</v>
      </c>
      <c r="AB6" s="60">
        <f t="shared" ref="AB6:AC6" si="1">+D6+F6+H6+J6+L6+N6+P6+R6+T6+V6+X6+Z6</f>
        <v>-18192</v>
      </c>
      <c r="AC6" s="1">
        <f t="shared" si="1"/>
        <v>-18919.68</v>
      </c>
      <c r="AD6" s="19"/>
      <c r="AE6" s="1"/>
      <c r="AF6" s="1"/>
      <c r="AG6" s="1"/>
      <c r="AH6" s="67"/>
      <c r="AM6" s="45"/>
      <c r="AN6" s="48">
        <v>0</v>
      </c>
      <c r="AO6" s="48">
        <v>8485.2800000000007</v>
      </c>
      <c r="AP6" s="48">
        <v>-3800</v>
      </c>
      <c r="AQ6" s="49">
        <f>+AQ4+AO6+AN6+AP6</f>
        <v>15880.61</v>
      </c>
      <c r="AR6" s="30"/>
      <c r="AS6" s="30"/>
      <c r="AT6" s="49">
        <v>0</v>
      </c>
    </row>
    <row r="7" spans="1:65" x14ac:dyDescent="0.2">
      <c r="A7" s="33" t="s">
        <v>15</v>
      </c>
      <c r="B7" s="34">
        <v>2.14</v>
      </c>
      <c r="C7" s="37">
        <f>+(E7+G7+I7+K7+M7+O7+Q7+S7+U7+W7+Y7+AA7)/18192</f>
        <v>1.8600461741424805</v>
      </c>
      <c r="D7" s="36"/>
      <c r="E7" s="37">
        <v>2626.8</v>
      </c>
      <c r="F7" s="36"/>
      <c r="G7" s="37">
        <v>1155.8399999999999</v>
      </c>
      <c r="H7" s="36"/>
      <c r="I7" s="37">
        <v>4986.88</v>
      </c>
      <c r="J7" s="36"/>
      <c r="K7" s="37">
        <v>2708.84</v>
      </c>
      <c r="L7" s="36"/>
      <c r="M7" s="37">
        <v>4008.84</v>
      </c>
      <c r="N7" s="36"/>
      <c r="O7" s="37">
        <v>5507.52</v>
      </c>
      <c r="P7" s="36"/>
      <c r="Q7" s="37">
        <v>1527.8</v>
      </c>
      <c r="R7" s="36"/>
      <c r="S7" s="37">
        <v>2311.6799999999998</v>
      </c>
      <c r="T7" s="36"/>
      <c r="U7" s="37">
        <v>4169.24</v>
      </c>
      <c r="V7" s="36"/>
      <c r="W7" s="37">
        <v>2378.6799999999998</v>
      </c>
      <c r="X7" s="36"/>
      <c r="Y7" s="37">
        <v>2455.84</v>
      </c>
      <c r="Z7" s="36"/>
      <c r="AA7" s="37">
        <v>0</v>
      </c>
      <c r="AB7" s="50"/>
      <c r="AC7" s="50">
        <f>+E7+G7+I7+K7+M7+O7+Q7+S7+U7+W7+Y7+AA7</f>
        <v>33837.960000000006</v>
      </c>
      <c r="AD7" s="37">
        <f>+AC7/+AB6</f>
        <v>-1.8600461741424805</v>
      </c>
      <c r="AE7" s="1">
        <f>+AC5*AD7</f>
        <v>-31200.414525065968</v>
      </c>
      <c r="AF7" s="1">
        <f>+Z5*AD7</f>
        <v>-31200.414525065968</v>
      </c>
      <c r="AG7" s="1">
        <f>+Z5*B5</f>
        <v>17444.96</v>
      </c>
      <c r="AH7" s="69">
        <v>1370</v>
      </c>
      <c r="AI7" s="3"/>
      <c r="AJ7" s="3"/>
      <c r="AK7" s="3"/>
      <c r="AL7" s="3"/>
      <c r="AM7" s="47">
        <f t="shared" ref="AM7:AN7" si="2">+F7+I7+L7+P7+S7+V7+Z7+AC7+AG7</f>
        <v>58581.48</v>
      </c>
      <c r="AN7" s="31">
        <f t="shared" si="2"/>
        <v>10439.299953825857</v>
      </c>
      <c r="AO7" s="31">
        <f>+AO6+AM7</f>
        <v>67066.760000000009</v>
      </c>
      <c r="AP7" s="31">
        <v>-3800</v>
      </c>
      <c r="AQ7" s="37">
        <f>+AO7+AP7</f>
        <v>63266.760000000009</v>
      </c>
      <c r="AR7" s="32"/>
      <c r="AS7" s="32"/>
      <c r="AT7" s="37"/>
      <c r="AU7" s="3"/>
      <c r="AV7" s="3"/>
      <c r="AW7" s="3"/>
      <c r="AX7" s="3"/>
      <c r="AY7" s="3"/>
      <c r="AZ7" s="3"/>
      <c r="BA7" s="3" t="s">
        <v>79</v>
      </c>
      <c r="BB7" s="3" t="s">
        <v>80</v>
      </c>
      <c r="BC7" s="3" t="s">
        <v>81</v>
      </c>
      <c r="BD7" s="3" t="s">
        <v>82</v>
      </c>
      <c r="BE7" s="4" t="s">
        <v>83</v>
      </c>
      <c r="BF7" s="4" t="s">
        <v>84</v>
      </c>
    </row>
    <row r="8" spans="1:65" x14ac:dyDescent="0.2">
      <c r="A8" s="25" t="s">
        <v>5</v>
      </c>
      <c r="B8" s="12">
        <v>0.76</v>
      </c>
      <c r="C8" s="13">
        <v>1100</v>
      </c>
      <c r="D8" s="26">
        <v>7178</v>
      </c>
      <c r="E8" s="27">
        <f>+D8/C8</f>
        <v>6.5254545454545454</v>
      </c>
      <c r="F8" s="26">
        <f>+D8+D9</f>
        <v>6270</v>
      </c>
      <c r="G8" s="27">
        <f>+F8/C8</f>
        <v>5.7</v>
      </c>
      <c r="H8" s="26">
        <f>+F8+F9</f>
        <v>5778</v>
      </c>
      <c r="I8" s="27">
        <f>+H8/C8</f>
        <v>5.2527272727272729</v>
      </c>
      <c r="J8" s="26">
        <f>+H8+H9</f>
        <v>4558</v>
      </c>
      <c r="K8" s="27">
        <f>+J8/C8</f>
        <v>4.1436363636363636</v>
      </c>
      <c r="L8" s="26">
        <f>+J8+J9+2275+1073</f>
        <v>6714</v>
      </c>
      <c r="M8" s="27">
        <f>+L8/C8</f>
        <v>6.1036363636363635</v>
      </c>
      <c r="N8" s="79">
        <f>+L8+L9</f>
        <v>4922</v>
      </c>
      <c r="O8" s="27">
        <f>+N8/C8</f>
        <v>4.4745454545454546</v>
      </c>
      <c r="P8" s="79">
        <f>+N8+N9+205</f>
        <v>4351</v>
      </c>
      <c r="Q8" s="27">
        <f>+P8/C8</f>
        <v>3.9554545454545456</v>
      </c>
      <c r="R8" s="79">
        <f>+P8+P9+4680</f>
        <v>6097</v>
      </c>
      <c r="S8" s="27">
        <f>+R8/C8</f>
        <v>5.5427272727272729</v>
      </c>
      <c r="T8" s="79">
        <f>+R8+R9</f>
        <v>5713</v>
      </c>
      <c r="U8" s="27">
        <f>+T8/C8</f>
        <v>5.1936363636363634</v>
      </c>
      <c r="V8" s="79">
        <f>+T8+T9</f>
        <v>5497</v>
      </c>
      <c r="W8" s="27">
        <f>+V8/C8</f>
        <v>4.9972727272727271</v>
      </c>
      <c r="X8" s="79">
        <f>+V8+V9</f>
        <v>5103</v>
      </c>
      <c r="Y8" s="80">
        <f>+X8/C8</f>
        <v>4.6390909090909087</v>
      </c>
      <c r="Z8" s="79">
        <f>+X8+X9</f>
        <v>3411</v>
      </c>
      <c r="AA8" s="27">
        <f>+Z8/C8</f>
        <v>3.1009090909090911</v>
      </c>
      <c r="AB8" s="58"/>
      <c r="AC8" s="59">
        <f>+C8*AA8</f>
        <v>3411</v>
      </c>
      <c r="AD8" s="13"/>
      <c r="AE8" s="1"/>
      <c r="AF8" s="1"/>
      <c r="AG8" s="1"/>
      <c r="AH8" s="67"/>
      <c r="AM8" s="45"/>
      <c r="AN8" s="48">
        <v>0</v>
      </c>
      <c r="AO8" s="48">
        <v>14595.609999999999</v>
      </c>
      <c r="AP8" s="48">
        <f>-3800-6080</f>
        <v>-9880</v>
      </c>
      <c r="AQ8" s="49">
        <f>+AQ6+AO8+AN8+AP8</f>
        <v>20596.22</v>
      </c>
      <c r="AR8" s="54" t="s">
        <v>63</v>
      </c>
      <c r="AS8" s="30"/>
      <c r="AT8" s="49">
        <v>0</v>
      </c>
      <c r="AV8" s="4" t="s">
        <v>76</v>
      </c>
      <c r="BA8" s="4">
        <v>6960</v>
      </c>
      <c r="BB8" s="4">
        <v>2520</v>
      </c>
      <c r="BC8" s="4">
        <v>2520</v>
      </c>
      <c r="BD8" s="4">
        <v>3600</v>
      </c>
      <c r="BE8" s="4">
        <v>2880</v>
      </c>
      <c r="BF8" s="4">
        <v>360</v>
      </c>
      <c r="BH8" s="4">
        <f>SUM(BA8:BF8)</f>
        <v>18840</v>
      </c>
    </row>
    <row r="9" spans="1:65" x14ac:dyDescent="0.2">
      <c r="A9" s="28" t="s">
        <v>27</v>
      </c>
      <c r="B9" s="18">
        <v>0.57999999999999996</v>
      </c>
      <c r="C9" s="43">
        <f>+(+D9+F9+H9+J9+L9+N9+P9+R9+T9+V9+X9+Z9)/12</f>
        <v>-1066.6666666666667</v>
      </c>
      <c r="D9" s="30">
        <v>-908</v>
      </c>
      <c r="E9" s="31">
        <f>+B8*D9</f>
        <v>-690.08</v>
      </c>
      <c r="F9" s="30">
        <v>-492</v>
      </c>
      <c r="G9" s="31">
        <f>+B8*F9</f>
        <v>-373.92</v>
      </c>
      <c r="H9" s="30">
        <v>-1220</v>
      </c>
      <c r="I9" s="31">
        <f>+B8*H9</f>
        <v>-927.2</v>
      </c>
      <c r="J9" s="30">
        <v>-1192</v>
      </c>
      <c r="K9" s="31">
        <f>+B8*J9</f>
        <v>-905.92</v>
      </c>
      <c r="L9" s="30">
        <v>-1792</v>
      </c>
      <c r="M9" s="31">
        <f>+B8*L9</f>
        <v>-1361.92</v>
      </c>
      <c r="N9" s="30">
        <v>-776</v>
      </c>
      <c r="O9" s="31">
        <f>+B8*N9</f>
        <v>-589.76</v>
      </c>
      <c r="P9" s="30">
        <v>-2934</v>
      </c>
      <c r="Q9" s="31">
        <f>+B8*P9</f>
        <v>-2229.84</v>
      </c>
      <c r="R9" s="30">
        <v>-384</v>
      </c>
      <c r="S9" s="31">
        <f>+B8*R9</f>
        <v>-291.84000000000003</v>
      </c>
      <c r="T9" s="30">
        <v>-216</v>
      </c>
      <c r="U9" s="31">
        <f>+B8*T9</f>
        <v>-164.16</v>
      </c>
      <c r="V9" s="30">
        <v>-394</v>
      </c>
      <c r="W9" s="31">
        <f>+B8*V9</f>
        <v>-299.44</v>
      </c>
      <c r="X9" s="30">
        <v>-1692</v>
      </c>
      <c r="Y9" s="31">
        <f>+B8*X9</f>
        <v>-1285.92</v>
      </c>
      <c r="Z9" s="30">
        <v>-800</v>
      </c>
      <c r="AA9" s="31">
        <f>+B8*Z9</f>
        <v>-608</v>
      </c>
      <c r="AB9" s="60">
        <f t="shared" ref="AB9:AC9" si="3">+D9+F9+H9+J9+L9+N9+P9+R9+T9+V9+X9+Z9</f>
        <v>-12800</v>
      </c>
      <c r="AC9" s="1">
        <f t="shared" si="3"/>
        <v>-9728</v>
      </c>
      <c r="AD9" s="19"/>
      <c r="AE9" s="1"/>
      <c r="AF9" s="1"/>
      <c r="AG9" s="1"/>
      <c r="AH9" s="37">
        <v>3628.25</v>
      </c>
      <c r="AI9" s="3"/>
      <c r="AJ9" s="3"/>
      <c r="AK9" s="3"/>
      <c r="AL9" s="3"/>
      <c r="AM9" s="47">
        <f t="shared" ref="AM9:AN9" si="4">+F9+I9+L9+P9+S9+V9+Z9+AC9+AG9</f>
        <v>-17359.04</v>
      </c>
      <c r="AN9" s="31">
        <f t="shared" si="4"/>
        <v>-2652.87</v>
      </c>
      <c r="AO9" s="31">
        <f>+AO8+AM9</f>
        <v>-2763.4300000000021</v>
      </c>
      <c r="AP9" s="31">
        <v>-3800</v>
      </c>
      <c r="AQ9" s="37">
        <f>+AO9+AP9</f>
        <v>-6563.4300000000021</v>
      </c>
      <c r="AR9" s="32"/>
      <c r="AS9" s="32"/>
      <c r="AT9" s="37"/>
      <c r="AU9" s="3"/>
      <c r="AV9" s="3"/>
      <c r="AW9" s="3"/>
      <c r="AX9" s="3"/>
      <c r="AY9" s="3"/>
      <c r="AZ9" s="3"/>
      <c r="BA9" s="6">
        <v>0.8</v>
      </c>
      <c r="BB9" s="6">
        <v>0.57899999999999996</v>
      </c>
      <c r="BC9" s="6">
        <v>0.46700000000000003</v>
      </c>
      <c r="BD9" s="6">
        <v>0.71</v>
      </c>
      <c r="BE9" s="6">
        <v>0.57999999999999996</v>
      </c>
      <c r="BF9" s="6">
        <v>0.46</v>
      </c>
      <c r="BG9" s="1"/>
      <c r="BH9" s="1" t="s">
        <v>85</v>
      </c>
      <c r="BI9" s="4" t="s">
        <v>86</v>
      </c>
      <c r="BJ9" s="4" t="s">
        <v>42</v>
      </c>
      <c r="BK9" s="1" t="s">
        <v>87</v>
      </c>
      <c r="BL9" s="1" t="s">
        <v>85</v>
      </c>
      <c r="BM9" s="1"/>
    </row>
    <row r="10" spans="1:65" x14ac:dyDescent="0.2">
      <c r="A10" s="33" t="s">
        <v>15</v>
      </c>
      <c r="B10" s="34">
        <v>2.02</v>
      </c>
      <c r="C10" s="37">
        <f>+(E10+G10+I10+K10+M10+O10+Q10+S10+U10+W10+Y10+AA10)/12800</f>
        <v>1.6469554687499999</v>
      </c>
      <c r="D10" s="36"/>
      <c r="E10" s="37">
        <v>1105.76</v>
      </c>
      <c r="F10" s="36"/>
      <c r="G10" s="37">
        <v>990.48</v>
      </c>
      <c r="H10" s="36"/>
      <c r="I10" s="37">
        <v>2210.88</v>
      </c>
      <c r="J10" s="36"/>
      <c r="K10" s="37">
        <v>1851.48</v>
      </c>
      <c r="L10" s="36"/>
      <c r="M10" s="37">
        <v>2571.48</v>
      </c>
      <c r="N10" s="36"/>
      <c r="O10" s="37">
        <v>1753.44</v>
      </c>
      <c r="P10" s="36"/>
      <c r="Q10" s="37">
        <v>4065.12</v>
      </c>
      <c r="R10" s="36"/>
      <c r="S10" s="37">
        <v>936.96</v>
      </c>
      <c r="T10" s="36"/>
      <c r="U10" s="37">
        <v>545.76</v>
      </c>
      <c r="V10" s="36"/>
      <c r="W10" s="37">
        <v>969.19</v>
      </c>
      <c r="X10" s="36"/>
      <c r="Y10" s="37">
        <v>2448.48</v>
      </c>
      <c r="Z10" s="36"/>
      <c r="AA10" s="37">
        <v>1632</v>
      </c>
      <c r="AB10" s="50"/>
      <c r="AC10" s="50">
        <f>+E10+G10+I10+K10+M10+O10+Q10+S10+U10+W10+Y10+AA10</f>
        <v>21081.03</v>
      </c>
      <c r="AD10" s="37">
        <f>+AC10/+AB9</f>
        <v>-1.6469554687499999</v>
      </c>
      <c r="AE10" s="1">
        <f>+AC8*AD10</f>
        <v>-5617.7651039062494</v>
      </c>
      <c r="AF10" s="1">
        <f>+Z8*AD10</f>
        <v>-5617.7651039062494</v>
      </c>
      <c r="AG10" s="1">
        <f>+Z8*B8</f>
        <v>2592.36</v>
      </c>
      <c r="AH10" s="67"/>
      <c r="AM10" s="45"/>
      <c r="AN10" s="48">
        <v>0</v>
      </c>
      <c r="AO10" s="48">
        <v>3983.1</v>
      </c>
      <c r="AP10" s="48">
        <v>-3800</v>
      </c>
      <c r="AQ10" s="49">
        <f>+AQ8+AO10+AN10+AP10</f>
        <v>20779.32</v>
      </c>
      <c r="AR10" s="30"/>
      <c r="AS10" s="30"/>
      <c r="AT10" s="49">
        <v>0</v>
      </c>
      <c r="BA10" s="1">
        <f t="shared" ref="BA10:BF10" si="5">+BA8*BA9</f>
        <v>5568</v>
      </c>
      <c r="BB10" s="1">
        <f t="shared" si="5"/>
        <v>1459.08</v>
      </c>
      <c r="BC10" s="1">
        <f t="shared" si="5"/>
        <v>1176.8400000000001</v>
      </c>
      <c r="BD10" s="1">
        <f t="shared" si="5"/>
        <v>2556</v>
      </c>
      <c r="BE10" s="1">
        <f t="shared" si="5"/>
        <v>1670.3999999999999</v>
      </c>
      <c r="BF10" s="1">
        <f t="shared" si="5"/>
        <v>165.6</v>
      </c>
      <c r="BG10" s="1"/>
      <c r="BH10" s="1">
        <f>SUM(BA10:BF10)</f>
        <v>12595.92</v>
      </c>
      <c r="BJ10" s="1"/>
      <c r="BK10" s="4">
        <v>1921.19</v>
      </c>
      <c r="BL10" s="1">
        <f>SUM(BH10:BK10)</f>
        <v>14517.11</v>
      </c>
    </row>
    <row r="11" spans="1:65" x14ac:dyDescent="0.2">
      <c r="A11" s="28" t="s">
        <v>6</v>
      </c>
      <c r="B11" s="18">
        <v>0.62</v>
      </c>
      <c r="C11" s="19">
        <v>250</v>
      </c>
      <c r="D11" s="30">
        <v>5396</v>
      </c>
      <c r="E11" s="32">
        <f>+D11/C11</f>
        <v>21.584</v>
      </c>
      <c r="F11" s="30">
        <f>+D11+D12</f>
        <v>5144</v>
      </c>
      <c r="G11" s="32">
        <f>+F11/C11</f>
        <v>20.576000000000001</v>
      </c>
      <c r="H11" s="30">
        <f>+F11+F12</f>
        <v>5096</v>
      </c>
      <c r="I11" s="32">
        <f>+H11/C11</f>
        <v>20.384</v>
      </c>
      <c r="J11" s="30">
        <f>+H11+H12</f>
        <v>4941</v>
      </c>
      <c r="K11" s="32">
        <f>+J11/C11</f>
        <v>19.763999999999999</v>
      </c>
      <c r="L11" s="30">
        <f>+J11+J12+1080-340</f>
        <v>5657</v>
      </c>
      <c r="M11" s="32">
        <f>+L11/C11</f>
        <v>22.628</v>
      </c>
      <c r="N11" s="30">
        <f>+L11+L12</f>
        <v>5409</v>
      </c>
      <c r="O11" s="32">
        <f>+N11/C11</f>
        <v>21.635999999999999</v>
      </c>
      <c r="P11" s="30">
        <f>+N11+N12-51</f>
        <v>5086</v>
      </c>
      <c r="Q11" s="32">
        <f>+P11/C11</f>
        <v>20.344000000000001</v>
      </c>
      <c r="R11" s="30">
        <f>+P11+P12</f>
        <v>4979</v>
      </c>
      <c r="S11" s="32">
        <f>+R11/C11</f>
        <v>19.916</v>
      </c>
      <c r="T11" s="30">
        <f>+R11+R12</f>
        <v>4431</v>
      </c>
      <c r="U11" s="32">
        <f>+T11/C11</f>
        <v>17.724</v>
      </c>
      <c r="V11" s="30">
        <f>+T11+T12</f>
        <v>4203</v>
      </c>
      <c r="W11" s="32">
        <f>+V11/C11</f>
        <v>16.812000000000001</v>
      </c>
      <c r="X11" s="30">
        <f>+V11+V12</f>
        <v>4057</v>
      </c>
      <c r="Y11" s="32">
        <f>+X11/C11</f>
        <v>16.228000000000002</v>
      </c>
      <c r="Z11" s="30">
        <f>+X11</f>
        <v>4057</v>
      </c>
      <c r="AA11" s="32">
        <f>+Z11/C11</f>
        <v>16.228000000000002</v>
      </c>
      <c r="AB11" s="62"/>
      <c r="AC11" s="59">
        <f>+C11*AA11</f>
        <v>4057.0000000000005</v>
      </c>
      <c r="AD11" s="13"/>
      <c r="AE11" s="1"/>
      <c r="AF11" s="1"/>
      <c r="AG11" s="1"/>
      <c r="AH11" s="69">
        <v>0</v>
      </c>
      <c r="AI11" s="3"/>
      <c r="AJ11" s="3"/>
      <c r="AK11" s="3"/>
      <c r="AL11" s="3"/>
      <c r="AM11" s="47">
        <f t="shared" ref="AM11:AN11" si="6">+F11+I11+L11+P11+S11+V11+Z11+AC11+AG11</f>
        <v>28244.3</v>
      </c>
      <c r="AN11" s="31">
        <f t="shared" si="6"/>
        <v>9468.5879999999979</v>
      </c>
      <c r="AO11" s="31">
        <f>+AO10+AM11</f>
        <v>32227.399999999998</v>
      </c>
      <c r="AP11" s="31">
        <v>-3800</v>
      </c>
      <c r="AQ11" s="81">
        <f>+AO11+AP11</f>
        <v>28427.399999999998</v>
      </c>
      <c r="AR11" s="32"/>
      <c r="AS11" s="32"/>
      <c r="AT11" s="37"/>
      <c r="AU11" s="3"/>
      <c r="AV11" s="3"/>
      <c r="AW11" s="3"/>
      <c r="AX11" s="3"/>
      <c r="AY11" s="3"/>
      <c r="AZ11" s="3"/>
      <c r="BA11" s="3"/>
      <c r="BB11" s="3"/>
      <c r="BC11" s="3"/>
      <c r="BD11" s="3"/>
      <c r="BI11" s="4">
        <v>3778.7759999999998</v>
      </c>
      <c r="BJ11" s="4">
        <v>8817.14</v>
      </c>
      <c r="BK11" s="4">
        <v>0.1</v>
      </c>
      <c r="BL11" s="4">
        <v>0.77</v>
      </c>
    </row>
    <row r="12" spans="1:65" x14ac:dyDescent="0.2">
      <c r="A12" s="28" t="s">
        <v>27</v>
      </c>
      <c r="B12" s="18">
        <v>0.47</v>
      </c>
      <c r="C12" s="43">
        <f>+(+D12+F12+H12+J12+L12+N12+P12+R12+T12+V12+X12+Z12)/12</f>
        <v>-196</v>
      </c>
      <c r="D12" s="30">
        <v>-252</v>
      </c>
      <c r="E12" s="31">
        <f>+B11*D12</f>
        <v>-156.24</v>
      </c>
      <c r="F12" s="30">
        <v>-48</v>
      </c>
      <c r="G12" s="32">
        <f>+B11*F12</f>
        <v>-29.759999999999998</v>
      </c>
      <c r="H12" s="30">
        <v>-155</v>
      </c>
      <c r="I12" s="31">
        <f>+B11*H12</f>
        <v>-96.1</v>
      </c>
      <c r="J12" s="30">
        <v>-24</v>
      </c>
      <c r="K12" s="31">
        <f>+B11*J12</f>
        <v>-14.879999999999999</v>
      </c>
      <c r="L12" s="30">
        <v>-248</v>
      </c>
      <c r="M12" s="31">
        <f>+B11*L12</f>
        <v>-153.76</v>
      </c>
      <c r="N12" s="30">
        <v>-272</v>
      </c>
      <c r="O12" s="31">
        <f>+B11*N12</f>
        <v>-168.64</v>
      </c>
      <c r="P12" s="30">
        <v>-107</v>
      </c>
      <c r="Q12" s="31">
        <f>+B11*P12</f>
        <v>-66.34</v>
      </c>
      <c r="R12" s="30">
        <v>-548</v>
      </c>
      <c r="S12" s="31">
        <f>+B11*R12</f>
        <v>-339.76</v>
      </c>
      <c r="T12" s="30">
        <v>-228</v>
      </c>
      <c r="U12" s="31">
        <f>+B11*T12</f>
        <v>-141.35999999999999</v>
      </c>
      <c r="V12" s="30">
        <v>-146</v>
      </c>
      <c r="W12" s="31">
        <f>+B11*V12</f>
        <v>-90.52</v>
      </c>
      <c r="X12" s="30">
        <v>-24</v>
      </c>
      <c r="Y12" s="31">
        <f>+B11*X12</f>
        <v>-14.879999999999999</v>
      </c>
      <c r="Z12" s="30">
        <v>-300</v>
      </c>
      <c r="AA12" s="31">
        <f>+B11*Z12</f>
        <v>-186</v>
      </c>
      <c r="AB12" s="63">
        <f t="shared" ref="AB12:AC12" si="7">+D12+F12+H12+J12+L12+N12+P12+R12+T12+V12+X12+Z12</f>
        <v>-2352</v>
      </c>
      <c r="AC12" s="1">
        <f t="shared" si="7"/>
        <v>-1458.24</v>
      </c>
      <c r="AD12" s="19"/>
      <c r="AE12" s="1"/>
      <c r="AF12" s="1"/>
      <c r="AG12" s="1"/>
      <c r="AH12" s="67"/>
      <c r="AM12" s="45"/>
      <c r="AN12" s="48">
        <v>-9139.2000000000007</v>
      </c>
      <c r="AO12" s="70">
        <v>9586.44</v>
      </c>
      <c r="AP12" s="48">
        <v>-3800</v>
      </c>
      <c r="AQ12" s="49">
        <f>+AQ10+AO12+AN12+AP12</f>
        <v>17426.560000000001</v>
      </c>
      <c r="AR12" s="54" t="s">
        <v>64</v>
      </c>
      <c r="AS12" s="54" t="s">
        <v>70</v>
      </c>
      <c r="AT12" s="49">
        <v>0</v>
      </c>
      <c r="AW12" s="1"/>
      <c r="AX12" s="1"/>
      <c r="AY12" s="1"/>
      <c r="AZ12" s="1"/>
      <c r="BB12" s="1"/>
    </row>
    <row r="13" spans="1:65" x14ac:dyDescent="0.2">
      <c r="A13" s="28" t="s">
        <v>15</v>
      </c>
      <c r="B13" s="34">
        <v>1.36</v>
      </c>
      <c r="C13" s="37">
        <f>+(E13+G13+I13+K13+M13+O13+Q13+S13+U13+W13+Y13+AA13)/2352</f>
        <v>1.3609778911564625</v>
      </c>
      <c r="D13" s="36"/>
      <c r="E13" s="37">
        <v>281.32</v>
      </c>
      <c r="F13" s="36"/>
      <c r="G13" s="38">
        <v>69.599999999999994</v>
      </c>
      <c r="H13" s="36"/>
      <c r="I13" s="37">
        <v>201.72</v>
      </c>
      <c r="J13" s="36"/>
      <c r="K13" s="37">
        <v>34.799999999999997</v>
      </c>
      <c r="L13" s="36"/>
      <c r="M13" s="37">
        <v>289.60000000000002</v>
      </c>
      <c r="N13" s="36"/>
      <c r="O13" s="37">
        <v>476.4</v>
      </c>
      <c r="P13" s="36"/>
      <c r="Q13" s="37">
        <v>132.12</v>
      </c>
      <c r="R13" s="36"/>
      <c r="S13" s="37">
        <v>696.1</v>
      </c>
      <c r="T13" s="36"/>
      <c r="U13" s="37">
        <v>247.44</v>
      </c>
      <c r="V13" s="36"/>
      <c r="W13" s="37">
        <v>215.12</v>
      </c>
      <c r="X13" s="36"/>
      <c r="Y13" s="37">
        <v>34.799999999999997</v>
      </c>
      <c r="Z13" s="36"/>
      <c r="AA13" s="37">
        <v>522</v>
      </c>
      <c r="AB13" s="49"/>
      <c r="AC13" s="50">
        <f>+E13+G13+I13+K13+M13+O13+Q13+S13+U13+W13+Y13+AA13</f>
        <v>3201.02</v>
      </c>
      <c r="AD13" s="37">
        <f>+AC13/+AB12</f>
        <v>-1.3609778911564625</v>
      </c>
      <c r="AE13" s="1">
        <f>+AC11*AD13</f>
        <v>-5521.4873044217693</v>
      </c>
      <c r="AF13" s="1">
        <f>+Z11*AD13</f>
        <v>-5521.4873044217684</v>
      </c>
      <c r="AG13" s="1">
        <f>+Z11*B11</f>
        <v>2515.34</v>
      </c>
      <c r="AH13" s="37">
        <v>172.2</v>
      </c>
      <c r="AM13" s="47">
        <f t="shared" ref="AM13:AN13" si="8">+F13+I13+L13+P13+S13+V13+Z13+AC13+AG13</f>
        <v>6614.18</v>
      </c>
      <c r="AN13" s="31">
        <f t="shared" si="8"/>
        <v>1399.2790221088437</v>
      </c>
      <c r="AO13" s="31">
        <f>+AO12+AM13</f>
        <v>16200.62</v>
      </c>
      <c r="AP13" s="31">
        <v>-3800</v>
      </c>
      <c r="AQ13" s="37">
        <f>+AO13+AP13</f>
        <v>12400.62</v>
      </c>
      <c r="AR13" s="19"/>
      <c r="AS13" s="19"/>
      <c r="AT13" s="37"/>
    </row>
    <row r="14" spans="1:65" x14ac:dyDescent="0.2">
      <c r="A14" s="59"/>
      <c r="B14" s="12"/>
      <c r="C14" s="13"/>
      <c r="D14" s="26"/>
      <c r="E14" s="27"/>
      <c r="F14" s="26"/>
      <c r="G14" s="27"/>
      <c r="H14" s="26"/>
      <c r="I14" s="27"/>
      <c r="J14" s="26"/>
      <c r="K14" s="27"/>
      <c r="L14" s="26"/>
      <c r="M14" s="27"/>
      <c r="N14" s="26"/>
      <c r="O14" s="27"/>
      <c r="P14" s="26"/>
      <c r="Q14" s="27"/>
      <c r="R14" s="26"/>
      <c r="S14" s="27"/>
      <c r="T14" s="26"/>
      <c r="U14" s="27"/>
      <c r="V14" s="26"/>
      <c r="W14" s="27"/>
      <c r="X14" s="26"/>
      <c r="Y14" s="27"/>
      <c r="Z14" s="26"/>
      <c r="AA14" s="27"/>
      <c r="AB14" s="3"/>
      <c r="AE14" s="1"/>
      <c r="AF14" s="1"/>
      <c r="AG14" s="1"/>
      <c r="AH14" s="67"/>
      <c r="AM14" s="45"/>
      <c r="AN14" s="48">
        <v>-4500</v>
      </c>
      <c r="AO14" s="48">
        <v>14075.58</v>
      </c>
      <c r="AP14" s="48">
        <f>-3800-4700</f>
        <v>-8500</v>
      </c>
      <c r="AQ14" s="49">
        <f>+AQ12+AO14+AN14+AP14</f>
        <v>18502.14</v>
      </c>
      <c r="AR14" s="54" t="s">
        <v>65</v>
      </c>
      <c r="AS14" s="54" t="s">
        <v>71</v>
      </c>
      <c r="AT14" s="49">
        <v>0</v>
      </c>
    </row>
    <row r="15" spans="1:65" x14ac:dyDescent="0.2">
      <c r="A15" s="40" t="s">
        <v>7</v>
      </c>
      <c r="B15" s="12">
        <v>0.94</v>
      </c>
      <c r="C15" s="13">
        <v>550</v>
      </c>
      <c r="D15" s="26">
        <v>4975</v>
      </c>
      <c r="E15" s="27">
        <f>+D15/C15</f>
        <v>9.045454545454545</v>
      </c>
      <c r="F15" s="26">
        <f>+D15+D16</f>
        <v>3875</v>
      </c>
      <c r="G15" s="27">
        <f>+F15/C15</f>
        <v>7.0454545454545459</v>
      </c>
      <c r="H15" s="41">
        <f>+F15+F16</f>
        <v>3875</v>
      </c>
      <c r="I15" s="27">
        <f>+H15/C15</f>
        <v>7.0454545454545459</v>
      </c>
      <c r="J15" s="41">
        <f>+H15+H16</f>
        <v>3175</v>
      </c>
      <c r="K15" s="27">
        <f>+J15/C15</f>
        <v>5.7727272727272725</v>
      </c>
      <c r="L15" s="41">
        <f>+J15+J16+960-224</f>
        <v>3311</v>
      </c>
      <c r="M15" s="27">
        <f>+L15/C15</f>
        <v>6.02</v>
      </c>
      <c r="N15" s="41">
        <f>+L15+L16</f>
        <v>3311</v>
      </c>
      <c r="O15" s="27">
        <f>+N15/C15</f>
        <v>6.02</v>
      </c>
      <c r="P15" s="41">
        <f>+N15+N16+260</f>
        <v>2571</v>
      </c>
      <c r="Q15" s="27">
        <f>+P15/C15</f>
        <v>4.6745454545454548</v>
      </c>
      <c r="R15" s="41">
        <f>+P15+P16+1200</f>
        <v>2771</v>
      </c>
      <c r="S15" s="27">
        <f>+R15/C15</f>
        <v>5.0381818181818181</v>
      </c>
      <c r="T15" s="41">
        <f>+R15+R16</f>
        <v>2771</v>
      </c>
      <c r="U15" s="27">
        <f>+T15/C15</f>
        <v>5.0381818181818181</v>
      </c>
      <c r="V15" s="41">
        <f>+T15+T16</f>
        <v>2271</v>
      </c>
      <c r="W15" s="27">
        <f>+V15/C15</f>
        <v>4.1290909090909089</v>
      </c>
      <c r="X15" s="41">
        <f>+V15+V16</f>
        <v>1671</v>
      </c>
      <c r="Y15" s="80">
        <f>+X15/C15</f>
        <v>3.0381818181818181</v>
      </c>
      <c r="Z15" s="41">
        <f>+X15+X16</f>
        <v>1671</v>
      </c>
      <c r="AA15" s="27">
        <f>+Z15/C15</f>
        <v>3.0381818181818181</v>
      </c>
      <c r="AB15" s="58"/>
      <c r="AC15" s="59">
        <f>+C15*AA15</f>
        <v>1671</v>
      </c>
      <c r="AD15" s="13"/>
      <c r="AE15" s="1"/>
      <c r="AF15" s="1"/>
      <c r="AG15" s="1"/>
      <c r="AH15" s="37">
        <v>4073.5</v>
      </c>
      <c r="AM15" s="47">
        <f t="shared" ref="AM15:AN15" si="9">+F15+I15+L15+P15+S15+V15+Z15+AC15+AG15</f>
        <v>15382.083636363635</v>
      </c>
      <c r="AN15" s="31">
        <f t="shared" si="9"/>
        <v>10044.407272727272</v>
      </c>
      <c r="AO15" s="31">
        <f>+AO14+AM15</f>
        <v>29457.663636363635</v>
      </c>
      <c r="AP15" s="31">
        <v>-3800</v>
      </c>
      <c r="AQ15" s="37">
        <f>+AO15+AP15</f>
        <v>25657.663636363635</v>
      </c>
      <c r="AR15" s="19"/>
      <c r="AS15" s="19"/>
      <c r="AT15" s="37"/>
      <c r="AW15" s="1"/>
      <c r="AX15" s="1"/>
      <c r="AY15" s="1"/>
      <c r="AZ15" s="1"/>
      <c r="BB15" s="1"/>
    </row>
    <row r="16" spans="1:65" x14ac:dyDescent="0.2">
      <c r="A16" s="42" t="s">
        <v>27</v>
      </c>
      <c r="B16" s="18">
        <v>0.72</v>
      </c>
      <c r="C16" s="43">
        <f>+(+D16+F16+H16+J16+L16+N16+P16+R16+T16+V16+X16+Z16)/12</f>
        <v>-458.33333333333331</v>
      </c>
      <c r="D16" s="30">
        <v>-1100</v>
      </c>
      <c r="E16" s="31">
        <f>+B15*D16</f>
        <v>-1034</v>
      </c>
      <c r="F16" s="30">
        <v>0</v>
      </c>
      <c r="G16" s="31">
        <f>+B15*F16</f>
        <v>0</v>
      </c>
      <c r="H16" s="30">
        <v>-700</v>
      </c>
      <c r="I16" s="31">
        <f>+B15*H16</f>
        <v>-658</v>
      </c>
      <c r="J16" s="30">
        <v>-600</v>
      </c>
      <c r="K16" s="31">
        <f>+B15*J16</f>
        <v>-564</v>
      </c>
      <c r="L16" s="30">
        <v>0</v>
      </c>
      <c r="M16" s="31">
        <f>+B15*L16</f>
        <v>0</v>
      </c>
      <c r="N16" s="30">
        <v>-1000</v>
      </c>
      <c r="O16" s="31">
        <f>+B15*N16</f>
        <v>-940</v>
      </c>
      <c r="P16" s="30">
        <v>-1000</v>
      </c>
      <c r="Q16" s="31">
        <f>+B15*P16</f>
        <v>-940</v>
      </c>
      <c r="R16" s="30">
        <v>0</v>
      </c>
      <c r="S16" s="31">
        <f>+B15*R16</f>
        <v>0</v>
      </c>
      <c r="T16" s="30">
        <v>-500</v>
      </c>
      <c r="U16" s="31">
        <f>+B15*T16</f>
        <v>-470</v>
      </c>
      <c r="V16" s="30">
        <v>-600</v>
      </c>
      <c r="W16" s="31">
        <f>+B15*V16</f>
        <v>-564</v>
      </c>
      <c r="X16" s="30">
        <v>0</v>
      </c>
      <c r="Y16" s="31">
        <f>+B15*X16</f>
        <v>0</v>
      </c>
      <c r="Z16" s="30">
        <v>0</v>
      </c>
      <c r="AA16" s="31">
        <f>+B15*Z16</f>
        <v>0</v>
      </c>
      <c r="AB16" s="60">
        <f t="shared" ref="AB16:AC16" si="10">+D16+F16+H16+J16+L16+N16+P16+R16+T16+V16+X16+Z16</f>
        <v>-5500</v>
      </c>
      <c r="AC16" s="1">
        <f t="shared" si="10"/>
        <v>-5170</v>
      </c>
      <c r="AD16" s="19"/>
      <c r="AE16" s="1"/>
      <c r="AF16" s="1"/>
      <c r="AG16" s="1"/>
      <c r="AH16" s="67"/>
      <c r="AM16" s="45"/>
      <c r="AN16" s="48">
        <v>0</v>
      </c>
      <c r="AO16" s="48">
        <v>13201.16</v>
      </c>
      <c r="AP16" s="48">
        <v>-3800</v>
      </c>
      <c r="AQ16" s="49">
        <f>+AQ14+AO16+AN16+AP16</f>
        <v>27903.3</v>
      </c>
      <c r="AR16" s="30"/>
      <c r="AS16" s="30"/>
      <c r="AT16" s="49">
        <v>0</v>
      </c>
    </row>
    <row r="17" spans="1:71" x14ac:dyDescent="0.2">
      <c r="A17" s="44" t="s">
        <v>15</v>
      </c>
      <c r="B17" s="34">
        <v>1.41</v>
      </c>
      <c r="C17" s="37">
        <f>+(E17+G17+I17+K17+M17+O17+Q17+S17+U17+W17+Y17+AA17)/5500</f>
        <v>1.2843636363636364</v>
      </c>
      <c r="D17" s="36"/>
      <c r="E17" s="37">
        <v>1344</v>
      </c>
      <c r="F17" s="36"/>
      <c r="G17" s="37">
        <v>0</v>
      </c>
      <c r="H17" s="36"/>
      <c r="I17" s="37">
        <v>910</v>
      </c>
      <c r="J17" s="36"/>
      <c r="K17" s="37">
        <v>780</v>
      </c>
      <c r="L17" s="36"/>
      <c r="M17" s="37">
        <v>0</v>
      </c>
      <c r="N17" s="36"/>
      <c r="O17" s="37">
        <v>1300</v>
      </c>
      <c r="P17" s="36"/>
      <c r="Q17" s="37">
        <v>1300</v>
      </c>
      <c r="R17" s="36"/>
      <c r="S17" s="37">
        <v>0</v>
      </c>
      <c r="T17" s="36"/>
      <c r="U17" s="37">
        <v>650</v>
      </c>
      <c r="V17" s="36"/>
      <c r="W17" s="37">
        <v>780</v>
      </c>
      <c r="X17" s="36"/>
      <c r="Y17" s="37">
        <v>0</v>
      </c>
      <c r="Z17" s="36"/>
      <c r="AA17" s="37">
        <v>0</v>
      </c>
      <c r="AB17" s="50"/>
      <c r="AC17" s="50">
        <f>+E17+G17+I17+K17+M17+O17+Q17+S17+U17+W17+Y17+AA17</f>
        <v>7064</v>
      </c>
      <c r="AD17" s="37">
        <f>+AC17/+AB16</f>
        <v>-1.2843636363636364</v>
      </c>
      <c r="AE17" s="1">
        <f>+AC15*AD17</f>
        <v>-2146.1716363636365</v>
      </c>
      <c r="AF17" s="1">
        <f>+Z15*AD17</f>
        <v>-2146.1716363636365</v>
      </c>
      <c r="AG17" s="1">
        <f>+Z15*B15</f>
        <v>1570.74</v>
      </c>
      <c r="AH17" s="37">
        <v>1985</v>
      </c>
      <c r="AM17" s="47">
        <f t="shared" ref="AM17:AN17" si="11">+F17+I17+L17+P17+S17+V17+Z17+AC17+AG17</f>
        <v>9544.74</v>
      </c>
      <c r="AN17" s="31">
        <f t="shared" si="11"/>
        <v>4063.7156363636363</v>
      </c>
      <c r="AO17" s="31">
        <f>+AO16+AM17</f>
        <v>22745.9</v>
      </c>
      <c r="AP17" s="31">
        <v>-3800</v>
      </c>
      <c r="AQ17" s="37">
        <f>+AO17+AP17</f>
        <v>18945.900000000001</v>
      </c>
      <c r="AR17" s="19"/>
      <c r="AS17" s="19"/>
      <c r="AT17" s="37"/>
    </row>
    <row r="18" spans="1:71" x14ac:dyDescent="0.2">
      <c r="A18" s="40" t="s">
        <v>8</v>
      </c>
      <c r="B18" s="12">
        <v>0.61</v>
      </c>
      <c r="C18" s="13">
        <v>225</v>
      </c>
      <c r="D18" s="26">
        <v>2927</v>
      </c>
      <c r="E18" s="27">
        <f>+D18/C18</f>
        <v>13.008888888888889</v>
      </c>
      <c r="F18" s="26">
        <f>+D18+D19</f>
        <v>2327</v>
      </c>
      <c r="G18" s="27">
        <f>+F18/C18</f>
        <v>10.342222222222222</v>
      </c>
      <c r="H18" s="26">
        <f>+F18+F19</f>
        <v>2327</v>
      </c>
      <c r="I18" s="27">
        <f>+H18/C18</f>
        <v>10.342222222222222</v>
      </c>
      <c r="J18" s="26">
        <f>+H18+H19</f>
        <v>1927</v>
      </c>
      <c r="K18" s="27">
        <f>+J18/C18</f>
        <v>8.5644444444444439</v>
      </c>
      <c r="L18" s="26">
        <f>+J18+J19+59</f>
        <v>1986</v>
      </c>
      <c r="M18" s="27">
        <f>+L18/C18</f>
        <v>8.8266666666666662</v>
      </c>
      <c r="N18" s="26">
        <f>+L18+L19</f>
        <v>1986</v>
      </c>
      <c r="O18" s="27">
        <f>+N18/C18</f>
        <v>8.8266666666666662</v>
      </c>
      <c r="P18" s="26">
        <f>+N18+N19</f>
        <v>1786</v>
      </c>
      <c r="Q18" s="27">
        <f>+P18/C18</f>
        <v>7.9377777777777778</v>
      </c>
      <c r="R18" s="26">
        <f>+P18+P19+360</f>
        <v>1946</v>
      </c>
      <c r="S18" s="27">
        <f>+R18/C18</f>
        <v>8.6488888888888891</v>
      </c>
      <c r="T18" s="26">
        <f>+R18+R19</f>
        <v>1646</v>
      </c>
      <c r="U18" s="27">
        <f>+T18/C18</f>
        <v>7.3155555555555551</v>
      </c>
      <c r="V18" s="26">
        <f>+T18+T19</f>
        <v>1546</v>
      </c>
      <c r="W18" s="27">
        <f>+V18/C18</f>
        <v>6.8711111111111114</v>
      </c>
      <c r="X18" s="26">
        <f>+V18+V19</f>
        <v>1246</v>
      </c>
      <c r="Y18" s="27">
        <f>+X18/C18</f>
        <v>5.5377777777777775</v>
      </c>
      <c r="Z18" s="26">
        <f>+X18+X19</f>
        <v>1246</v>
      </c>
      <c r="AA18" s="65">
        <f>+Z18/C18</f>
        <v>5.5377777777777775</v>
      </c>
      <c r="AB18" s="58"/>
      <c r="AC18" s="59">
        <f>+C18*AA18</f>
        <v>1246</v>
      </c>
      <c r="AD18" s="13"/>
      <c r="AE18" s="1"/>
      <c r="AF18" s="1"/>
      <c r="AG18" s="1"/>
      <c r="AH18" s="67"/>
      <c r="AM18" s="45"/>
      <c r="AN18" s="48">
        <v>0</v>
      </c>
      <c r="AO18" s="48">
        <v>10492.720000000001</v>
      </c>
      <c r="AP18" s="48">
        <v>-3800</v>
      </c>
      <c r="AQ18" s="72">
        <f>+AQ16+AO18+AN18+AP18</f>
        <v>34596.020000000004</v>
      </c>
      <c r="AR18" s="30"/>
      <c r="AS18" s="30"/>
      <c r="AT18" s="49">
        <v>0</v>
      </c>
    </row>
    <row r="19" spans="1:71" x14ac:dyDescent="0.2">
      <c r="A19" s="42" t="s">
        <v>27</v>
      </c>
      <c r="B19" s="18">
        <v>0.49</v>
      </c>
      <c r="C19" s="43">
        <f>+(+D19+F19+H19+J19+L19+N19+P19+R19+T19+V19+X19+Z19)/12</f>
        <v>-175</v>
      </c>
      <c r="D19" s="30">
        <v>-600</v>
      </c>
      <c r="E19" s="31">
        <f>+B18*D19</f>
        <v>-366</v>
      </c>
      <c r="F19" s="30">
        <v>0</v>
      </c>
      <c r="G19" s="31">
        <f>+B18*F19</f>
        <v>0</v>
      </c>
      <c r="H19" s="30">
        <v>-400</v>
      </c>
      <c r="I19" s="31">
        <f>+B18*H19</f>
        <v>-244</v>
      </c>
      <c r="J19" s="30">
        <v>0</v>
      </c>
      <c r="K19" s="31">
        <f>+B18*J19</f>
        <v>0</v>
      </c>
      <c r="L19" s="30">
        <v>0</v>
      </c>
      <c r="M19" s="31">
        <f>+B18*L19</f>
        <v>0</v>
      </c>
      <c r="N19" s="30">
        <v>-200</v>
      </c>
      <c r="O19" s="31">
        <f>+B18*N19</f>
        <v>-122</v>
      </c>
      <c r="P19" s="30">
        <v>-200</v>
      </c>
      <c r="Q19" s="31">
        <f>+B18*P19</f>
        <v>-122</v>
      </c>
      <c r="R19" s="30">
        <v>-300</v>
      </c>
      <c r="S19" s="31">
        <f>+B18*R19</f>
        <v>-183</v>
      </c>
      <c r="T19" s="30">
        <v>-100</v>
      </c>
      <c r="U19" s="31">
        <f>+B18*T19</f>
        <v>-61</v>
      </c>
      <c r="V19" s="30">
        <v>-300</v>
      </c>
      <c r="W19" s="31">
        <f>+B18*V19</f>
        <v>-183</v>
      </c>
      <c r="X19" s="30">
        <v>0</v>
      </c>
      <c r="Y19" s="31">
        <f>+B18*X19</f>
        <v>0</v>
      </c>
      <c r="Z19" s="30">
        <v>0</v>
      </c>
      <c r="AA19" s="31">
        <f>+B18*Z19</f>
        <v>0</v>
      </c>
      <c r="AB19" s="60">
        <f t="shared" ref="AB19:AC19" si="12">+D19+F19+H19+J19+L19+N19+P19+R19+T19+V19+X19+Z19</f>
        <v>-2100</v>
      </c>
      <c r="AC19" s="1">
        <f t="shared" si="12"/>
        <v>-1281</v>
      </c>
      <c r="AD19" s="19"/>
      <c r="AE19" s="1"/>
      <c r="AF19" s="1"/>
      <c r="AG19" s="1"/>
      <c r="AH19" s="37">
        <v>3285</v>
      </c>
      <c r="AM19" s="47">
        <f t="shared" ref="AM19:AN19" si="13">+F19+I19+L19+P19+S19+V19+Z19+AC19+AG19</f>
        <v>-2208</v>
      </c>
      <c r="AN19" s="31">
        <f t="shared" si="13"/>
        <v>2880</v>
      </c>
      <c r="AO19" s="31">
        <f>+AO18+AM19</f>
        <v>8284.7200000000012</v>
      </c>
      <c r="AP19" s="31">
        <v>-3800</v>
      </c>
      <c r="AQ19" s="37">
        <f>+AO19+AP19</f>
        <v>4484.7200000000012</v>
      </c>
      <c r="AR19" s="19"/>
      <c r="AS19" s="19"/>
      <c r="AT19" s="37"/>
    </row>
    <row r="20" spans="1:71" x14ac:dyDescent="0.2">
      <c r="A20" s="44" t="s">
        <v>15</v>
      </c>
      <c r="B20" s="34">
        <v>1.27</v>
      </c>
      <c r="C20" s="37">
        <f>+(E20+G20+I20+K20+M20+O20+Q20+S20+U20+W20+Y20+AA20)/2100</f>
        <v>1</v>
      </c>
      <c r="D20" s="36"/>
      <c r="E20" s="37">
        <v>600</v>
      </c>
      <c r="F20" s="36"/>
      <c r="G20" s="37">
        <v>0</v>
      </c>
      <c r="H20" s="36"/>
      <c r="I20" s="37">
        <v>400</v>
      </c>
      <c r="J20" s="36"/>
      <c r="K20" s="37">
        <v>0</v>
      </c>
      <c r="L20" s="36"/>
      <c r="M20" s="37">
        <v>0</v>
      </c>
      <c r="N20" s="36"/>
      <c r="O20" s="37">
        <v>200</v>
      </c>
      <c r="P20" s="36"/>
      <c r="Q20" s="37">
        <v>200</v>
      </c>
      <c r="R20" s="36"/>
      <c r="S20" s="37">
        <v>300</v>
      </c>
      <c r="T20" s="36"/>
      <c r="U20" s="37">
        <v>100</v>
      </c>
      <c r="V20" s="36"/>
      <c r="W20" s="37">
        <v>300</v>
      </c>
      <c r="X20" s="36"/>
      <c r="Y20" s="37">
        <v>0</v>
      </c>
      <c r="Z20" s="36"/>
      <c r="AA20" s="37">
        <v>0</v>
      </c>
      <c r="AB20" s="50"/>
      <c r="AC20" s="50">
        <f>+E20+G20+I20+K20+M20+O20+Q20+S20+U20+W20+Y20+AA20</f>
        <v>2100</v>
      </c>
      <c r="AD20" s="37">
        <f>+AC20/+AB19</f>
        <v>-1</v>
      </c>
      <c r="AE20" s="1">
        <f>+AC18*AD20</f>
        <v>-1246</v>
      </c>
      <c r="AF20" s="1">
        <f>+Z18*AD20</f>
        <v>-1246</v>
      </c>
      <c r="AG20" s="1">
        <f>+Z18*B18</f>
        <v>760.06</v>
      </c>
      <c r="AH20" s="67"/>
      <c r="AM20" s="45"/>
      <c r="AN20" s="48">
        <v>0</v>
      </c>
      <c r="AO20" s="48">
        <v>14658.36</v>
      </c>
      <c r="AP20" s="48">
        <v>-7400</v>
      </c>
      <c r="AQ20" s="49">
        <f>+AQ18+AO20+AN20+AP20</f>
        <v>41854.380000000005</v>
      </c>
      <c r="AR20" s="30" t="s">
        <v>66</v>
      </c>
      <c r="AS20" s="30"/>
      <c r="AT20" s="49">
        <v>0</v>
      </c>
      <c r="AV20" s="4" t="s">
        <v>77</v>
      </c>
      <c r="AW20" s="4" t="s">
        <v>78</v>
      </c>
      <c r="BA20" s="4" t="s">
        <v>79</v>
      </c>
      <c r="BB20" s="4" t="s">
        <v>80</v>
      </c>
      <c r="BC20" s="4" t="s">
        <v>81</v>
      </c>
      <c r="BD20" s="4" t="s">
        <v>82</v>
      </c>
      <c r="BE20" s="4" t="s">
        <v>83</v>
      </c>
      <c r="BF20" s="4" t="s">
        <v>84</v>
      </c>
    </row>
    <row r="21" spans="1:71" ht="15.75" customHeight="1" x14ac:dyDescent="0.2">
      <c r="A21" s="40" t="s">
        <v>9</v>
      </c>
      <c r="B21" s="12">
        <v>0.48</v>
      </c>
      <c r="C21" s="13">
        <v>125</v>
      </c>
      <c r="D21" s="26">
        <v>548</v>
      </c>
      <c r="E21" s="27">
        <f>+D21/C21</f>
        <v>4.3840000000000003</v>
      </c>
      <c r="F21" s="26">
        <f>+D21+D22</f>
        <v>398</v>
      </c>
      <c r="G21" s="27">
        <f>+F21/C21</f>
        <v>3.1840000000000002</v>
      </c>
      <c r="H21" s="26">
        <f>+F21+F22</f>
        <v>198</v>
      </c>
      <c r="I21" s="27">
        <f>+H21/C21</f>
        <v>1.5840000000000001</v>
      </c>
      <c r="J21" s="26">
        <f>+H21+H22</f>
        <v>198</v>
      </c>
      <c r="K21" s="27">
        <f>+J21/C21</f>
        <v>1.5840000000000001</v>
      </c>
      <c r="L21" s="26">
        <f>+J21+J22+720+2</f>
        <v>720</v>
      </c>
      <c r="M21" s="27">
        <f>+L21/C21</f>
        <v>5.76</v>
      </c>
      <c r="N21" s="26">
        <f>+L21+L22</f>
        <v>720</v>
      </c>
      <c r="O21" s="27">
        <f>+N21/C21</f>
        <v>5.76</v>
      </c>
      <c r="P21" s="26">
        <f>+N21+N22</f>
        <v>570</v>
      </c>
      <c r="Q21" s="27">
        <f>+P21/C21</f>
        <v>4.5599999999999996</v>
      </c>
      <c r="R21" s="26">
        <f>+P21+P22+360</f>
        <v>730</v>
      </c>
      <c r="S21" s="27">
        <f>+R21/C21</f>
        <v>5.84</v>
      </c>
      <c r="T21" s="26">
        <f>+R21+R22</f>
        <v>730</v>
      </c>
      <c r="U21" s="27">
        <f>+T21/C21</f>
        <v>5.84</v>
      </c>
      <c r="V21" s="26">
        <f>+T21+T22</f>
        <v>530</v>
      </c>
      <c r="W21" s="27">
        <f>+V21/C21</f>
        <v>4.24</v>
      </c>
      <c r="X21" s="26">
        <f>+V21+V22</f>
        <v>530</v>
      </c>
      <c r="Y21" s="80">
        <f>+X21/C21</f>
        <v>4.24</v>
      </c>
      <c r="Z21" s="26">
        <f>+X21+X22</f>
        <v>530</v>
      </c>
      <c r="AA21" s="27">
        <f>+Z21/C21</f>
        <v>4.24</v>
      </c>
      <c r="AB21" s="58"/>
      <c r="AC21" s="59">
        <f>+C21*AA21</f>
        <v>530</v>
      </c>
      <c r="AD21" s="13"/>
      <c r="AE21" s="1"/>
      <c r="AF21" s="1"/>
      <c r="AG21" s="1"/>
      <c r="AH21" s="37">
        <v>1770</v>
      </c>
      <c r="AM21" s="47">
        <f t="shared" ref="AM21:AN21" si="14">+F21+I21+L21+P21+S21+V21+Z21+AC21+AG21</f>
        <v>3285.424</v>
      </c>
      <c r="AN21" s="31">
        <f t="shared" si="14"/>
        <v>2719.9839999999999</v>
      </c>
      <c r="AO21" s="31">
        <f>+AO20+AM21</f>
        <v>17943.784</v>
      </c>
      <c r="AP21" s="31">
        <v>-7400</v>
      </c>
      <c r="AQ21" s="37">
        <f>+AO21+AP21</f>
        <v>10543.784</v>
      </c>
      <c r="AR21" s="19"/>
      <c r="AS21" s="19"/>
      <c r="AT21" s="37"/>
      <c r="BA21" s="4">
        <v>7200</v>
      </c>
      <c r="BB21" s="4">
        <v>0</v>
      </c>
      <c r="BC21" s="4">
        <v>4320</v>
      </c>
      <c r="BD21" s="4">
        <v>3600</v>
      </c>
      <c r="BE21" s="4">
        <v>1440</v>
      </c>
      <c r="BF21" s="4">
        <v>0</v>
      </c>
    </row>
    <row r="22" spans="1:71" ht="15.75" customHeight="1" x14ac:dyDescent="0.2">
      <c r="A22" s="66" t="s">
        <v>27</v>
      </c>
      <c r="B22" s="18">
        <v>0.38</v>
      </c>
      <c r="C22" s="43">
        <f>+(+D22+F22+H22+J22+L22+N22+P22+R22+T22+V22+X22+Z22)/12</f>
        <v>-91.666666666666671</v>
      </c>
      <c r="D22" s="30">
        <v>-150</v>
      </c>
      <c r="E22" s="31">
        <f>+B21*D22</f>
        <v>-72</v>
      </c>
      <c r="F22" s="30">
        <v>-200</v>
      </c>
      <c r="G22" s="31">
        <f>+B21*F22</f>
        <v>-96</v>
      </c>
      <c r="H22" s="30">
        <v>0</v>
      </c>
      <c r="I22" s="31">
        <f>+B21*H22</f>
        <v>0</v>
      </c>
      <c r="J22" s="30">
        <v>-200</v>
      </c>
      <c r="K22" s="31">
        <f>+B21*J22</f>
        <v>-96</v>
      </c>
      <c r="L22" s="30">
        <v>0</v>
      </c>
      <c r="M22" s="31">
        <f>+B21*L22</f>
        <v>0</v>
      </c>
      <c r="N22" s="30">
        <v>-150</v>
      </c>
      <c r="O22" s="31">
        <f>+B21*N22</f>
        <v>-72</v>
      </c>
      <c r="P22" s="30">
        <v>-200</v>
      </c>
      <c r="Q22" s="31">
        <f>+B21*P22</f>
        <v>-96</v>
      </c>
      <c r="R22" s="30">
        <v>0</v>
      </c>
      <c r="S22" s="31">
        <f>+B21*R22</f>
        <v>0</v>
      </c>
      <c r="T22" s="30">
        <v>-200</v>
      </c>
      <c r="U22" s="31">
        <f>+B21*T22</f>
        <v>-96</v>
      </c>
      <c r="V22" s="30">
        <v>0</v>
      </c>
      <c r="W22" s="31">
        <f>+B21*V22</f>
        <v>0</v>
      </c>
      <c r="X22" s="30">
        <v>0</v>
      </c>
      <c r="Y22" s="31">
        <f>+B21*X22</f>
        <v>0</v>
      </c>
      <c r="Z22" s="30">
        <v>0</v>
      </c>
      <c r="AA22" s="31">
        <f>+B21*Z22</f>
        <v>0</v>
      </c>
      <c r="AB22" s="60">
        <f t="shared" ref="AB22:AC22" si="15">+D22+F22+H22+J22+L22+N22+P22+R22+T22+V22+X22+Z22</f>
        <v>-1100</v>
      </c>
      <c r="AC22" s="1">
        <f t="shared" si="15"/>
        <v>-528</v>
      </c>
      <c r="AD22" s="19"/>
      <c r="AE22" s="1"/>
      <c r="AF22" s="1"/>
      <c r="AG22" s="1"/>
      <c r="AH22" s="67"/>
      <c r="AM22" s="45"/>
      <c r="AN22" s="48">
        <v>-4062.8</v>
      </c>
      <c r="AO22" s="48">
        <v>10429.439999999999</v>
      </c>
      <c r="AP22" s="48">
        <f>-3800</f>
        <v>-3800</v>
      </c>
      <c r="AQ22" s="49">
        <f>+AQ20+AO22+AN22+AP22</f>
        <v>44421.020000000004</v>
      </c>
      <c r="AR22" s="30" t="s">
        <v>67</v>
      </c>
      <c r="AS22" s="73" t="s">
        <v>72</v>
      </c>
      <c r="AT22" s="49">
        <v>0</v>
      </c>
      <c r="BA22" s="1">
        <v>0.8</v>
      </c>
      <c r="BB22" s="1">
        <v>0.57899999999999996</v>
      </c>
      <c r="BC22" s="1">
        <v>0.46700000000000003</v>
      </c>
      <c r="BD22" s="1">
        <v>0.71699999999999997</v>
      </c>
      <c r="BE22" s="1">
        <v>0.48899999999999999</v>
      </c>
      <c r="BF22" s="1">
        <v>0.46</v>
      </c>
      <c r="BH22" s="4" t="s">
        <v>85</v>
      </c>
      <c r="BI22" s="4" t="s">
        <v>86</v>
      </c>
      <c r="BJ22" s="4" t="s">
        <v>42</v>
      </c>
      <c r="BK22" s="4" t="s">
        <v>88</v>
      </c>
      <c r="BL22" s="4" t="s">
        <v>85</v>
      </c>
    </row>
    <row r="23" spans="1:71" ht="15.75" customHeight="1" x14ac:dyDescent="0.2">
      <c r="A23" s="33" t="s">
        <v>15</v>
      </c>
      <c r="B23" s="34">
        <v>1</v>
      </c>
      <c r="C23" s="37">
        <f>+(E23+G23+I23+K23+M23+O23+Q23+S23+U23+W23+Y23+AA23)/1100</f>
        <v>1</v>
      </c>
      <c r="D23" s="36"/>
      <c r="E23" s="37">
        <v>150</v>
      </c>
      <c r="F23" s="36"/>
      <c r="G23" s="37">
        <v>200</v>
      </c>
      <c r="H23" s="36"/>
      <c r="I23" s="37">
        <v>0</v>
      </c>
      <c r="J23" s="36"/>
      <c r="K23" s="37">
        <v>200</v>
      </c>
      <c r="L23" s="36"/>
      <c r="M23" s="37">
        <v>0</v>
      </c>
      <c r="N23" s="36"/>
      <c r="O23" s="37">
        <v>150</v>
      </c>
      <c r="P23" s="36"/>
      <c r="Q23" s="37">
        <v>200</v>
      </c>
      <c r="R23" s="36"/>
      <c r="S23" s="37">
        <v>0</v>
      </c>
      <c r="T23" s="36"/>
      <c r="U23" s="37">
        <v>200</v>
      </c>
      <c r="V23" s="36"/>
      <c r="W23" s="37">
        <v>0</v>
      </c>
      <c r="X23" s="36"/>
      <c r="Y23" s="37">
        <v>0</v>
      </c>
      <c r="Z23" s="36"/>
      <c r="AA23" s="37">
        <v>0</v>
      </c>
      <c r="AB23" s="50"/>
      <c r="AC23" s="50">
        <f>+E23+G23+I23+K23+M23+O23+Q23+S23+U23+W23+Y23+AA23</f>
        <v>1100</v>
      </c>
      <c r="AD23" s="37">
        <f>+AC23/+AB22</f>
        <v>-1</v>
      </c>
      <c r="AE23" s="1">
        <f>+AC21*AD23</f>
        <v>-530</v>
      </c>
      <c r="AF23" s="1">
        <f>+Z21*AD23</f>
        <v>-530</v>
      </c>
      <c r="AG23" s="1">
        <f>+Z21*B21</f>
        <v>254.39999999999998</v>
      </c>
      <c r="AH23" s="37">
        <v>2670</v>
      </c>
      <c r="AM23" s="47">
        <f>+F23+I23+L23+P23+S23+V23+Z23+AC23+AG23</f>
        <v>1354.4</v>
      </c>
      <c r="AN23" s="31">
        <f>+G23+J23+M23+Q23+T23+W23+AA23+AD23+AH23+345.32</f>
        <v>3414.32</v>
      </c>
      <c r="AO23" s="31">
        <f>+AO22+AM23</f>
        <v>11783.839999999998</v>
      </c>
      <c r="AP23" s="31">
        <v>-3800</v>
      </c>
      <c r="AQ23" s="37">
        <f>+AO23+AP23</f>
        <v>7983.8399999999983</v>
      </c>
      <c r="AR23" s="19"/>
      <c r="AS23" s="19"/>
      <c r="AT23" s="37"/>
      <c r="BA23" s="1">
        <f t="shared" ref="BA23:BF23" si="16">+BA21*BA22</f>
        <v>5760</v>
      </c>
      <c r="BB23" s="1">
        <f t="shared" si="16"/>
        <v>0</v>
      </c>
      <c r="BC23" s="1">
        <f t="shared" si="16"/>
        <v>2017.44</v>
      </c>
      <c r="BD23" s="1">
        <f t="shared" si="16"/>
        <v>2581.1999999999998</v>
      </c>
      <c r="BE23" s="1">
        <f t="shared" si="16"/>
        <v>704.16</v>
      </c>
      <c r="BF23" s="1">
        <f t="shared" si="16"/>
        <v>0</v>
      </c>
      <c r="BH23" s="1">
        <f>SUM(BA23:BF23)</f>
        <v>11062.8</v>
      </c>
      <c r="BI23" s="1"/>
      <c r="BJ23" s="1"/>
      <c r="BK23" s="1">
        <v>2500</v>
      </c>
      <c r="BL23" s="1">
        <f>SUM(BH23:BK23)</f>
        <v>13562.8</v>
      </c>
      <c r="BM23" s="1"/>
      <c r="BN23" s="1"/>
    </row>
    <row r="24" spans="1:71" ht="15.75" customHeight="1" x14ac:dyDescent="0.2">
      <c r="A24" s="67"/>
      <c r="B24" s="18"/>
      <c r="C24" s="19"/>
      <c r="D24" s="30"/>
      <c r="E24" s="32"/>
      <c r="F24" s="30"/>
      <c r="G24" s="32"/>
      <c r="H24" s="30"/>
      <c r="I24" s="32"/>
      <c r="J24" s="30"/>
      <c r="K24" s="32"/>
      <c r="L24" s="30"/>
      <c r="M24" s="32"/>
      <c r="N24" s="30"/>
      <c r="O24" s="32"/>
      <c r="P24" s="30"/>
      <c r="Q24" s="32"/>
      <c r="R24" s="30"/>
      <c r="S24" s="32"/>
      <c r="T24" s="30"/>
      <c r="U24" s="32"/>
      <c r="V24" s="30"/>
      <c r="W24" s="32"/>
      <c r="X24" s="30"/>
      <c r="Y24" s="32"/>
      <c r="Z24" s="30"/>
      <c r="AA24" s="32"/>
      <c r="AB24" s="3"/>
      <c r="AE24" s="1"/>
      <c r="AF24" s="1"/>
      <c r="AG24" s="1"/>
      <c r="AH24" s="67"/>
      <c r="AM24" s="45"/>
      <c r="AN24" s="48">
        <v>-9500</v>
      </c>
      <c r="AO24" s="48">
        <v>11374.36</v>
      </c>
      <c r="AP24" s="48">
        <f>-3800</f>
        <v>-3800</v>
      </c>
      <c r="AQ24" s="49">
        <f>+AQ22+AO24+AN24+AP24-11782.54</f>
        <v>30712.840000000004</v>
      </c>
      <c r="AR24" s="30" t="s">
        <v>68</v>
      </c>
      <c r="AS24" s="30" t="s">
        <v>73</v>
      </c>
      <c r="AT24" s="49">
        <v>0</v>
      </c>
      <c r="BI24" s="4">
        <v>4062.8</v>
      </c>
      <c r="BJ24" s="4">
        <v>7000</v>
      </c>
    </row>
    <row r="25" spans="1:71" ht="15.75" customHeight="1" x14ac:dyDescent="0.2">
      <c r="A25" s="25" t="s">
        <v>10</v>
      </c>
      <c r="B25" s="12">
        <v>1.1000000000000001</v>
      </c>
      <c r="C25" s="13">
        <v>250</v>
      </c>
      <c r="D25" s="26">
        <v>1655</v>
      </c>
      <c r="E25" s="27">
        <f>+D25/C25</f>
        <v>6.62</v>
      </c>
      <c r="F25" s="26">
        <f>+D25+D26</f>
        <v>1155</v>
      </c>
      <c r="G25" s="27">
        <f>+F25/C25</f>
        <v>4.62</v>
      </c>
      <c r="H25" s="26">
        <f>+F25+F26</f>
        <v>1155</v>
      </c>
      <c r="I25" s="27">
        <f>+H25/C25</f>
        <v>4.62</v>
      </c>
      <c r="J25" s="26">
        <f>+H25+H26</f>
        <v>655</v>
      </c>
      <c r="K25" s="27">
        <f>+J25/C25</f>
        <v>2.62</v>
      </c>
      <c r="L25" s="26">
        <f>+J25+J26+861</f>
        <v>1516</v>
      </c>
      <c r="M25" s="27">
        <f>+L25/C25</f>
        <v>6.0640000000000001</v>
      </c>
      <c r="N25" s="26">
        <f>+L25+L26+240</f>
        <v>1756</v>
      </c>
      <c r="O25" s="27">
        <f>+N25/C25</f>
        <v>7.024</v>
      </c>
      <c r="P25" s="26">
        <f>+N25+N26</f>
        <v>1256</v>
      </c>
      <c r="Q25" s="27">
        <f>+P25/C25</f>
        <v>5.024</v>
      </c>
      <c r="R25" s="26">
        <f>+P25+P26+1920</f>
        <v>2676</v>
      </c>
      <c r="S25" s="27">
        <f>+R25/C25</f>
        <v>10.704000000000001</v>
      </c>
      <c r="T25" s="26">
        <f>+R25+R26</f>
        <v>2676</v>
      </c>
      <c r="U25" s="27">
        <f>+T25/C25</f>
        <v>10.704000000000001</v>
      </c>
      <c r="V25" s="26">
        <f>+T25+T26</f>
        <v>2176</v>
      </c>
      <c r="W25" s="27">
        <f>+V25/C25</f>
        <v>8.7040000000000006</v>
      </c>
      <c r="X25" s="26">
        <f>+V25+V26</f>
        <v>2176</v>
      </c>
      <c r="Y25" s="27">
        <f>+X25/C25</f>
        <v>8.7040000000000006</v>
      </c>
      <c r="Z25" s="26">
        <f>+X25+X26</f>
        <v>1676</v>
      </c>
      <c r="AA25" s="27">
        <f>+Z25/C25</f>
        <v>6.7039999999999997</v>
      </c>
      <c r="AB25" s="58"/>
      <c r="AC25" s="59">
        <f>+C25*AA25</f>
        <v>1676</v>
      </c>
      <c r="AD25" s="13"/>
      <c r="AE25" s="1"/>
      <c r="AF25" s="1"/>
      <c r="AG25" s="1"/>
      <c r="AH25" s="37">
        <v>2670</v>
      </c>
      <c r="AM25" s="47">
        <f t="shared" ref="AM25:AN25" si="17">+F25+I25+L25+P25+S25+V25+Z25+AC25+AG25</f>
        <v>9470.3240000000005</v>
      </c>
      <c r="AN25" s="31">
        <f t="shared" si="17"/>
        <v>6032.116</v>
      </c>
      <c r="AO25" s="31">
        <f>+AO24+AM25</f>
        <v>20844.684000000001</v>
      </c>
      <c r="AP25" s="31">
        <v>-3800</v>
      </c>
      <c r="AQ25" s="37">
        <f>+AO25+AP25</f>
        <v>17044.684000000001</v>
      </c>
      <c r="AR25" s="19"/>
      <c r="AS25" s="19"/>
      <c r="AT25" s="37"/>
    </row>
    <row r="26" spans="1:71" ht="15.75" customHeight="1" x14ac:dyDescent="0.2">
      <c r="A26" s="28" t="s">
        <v>27</v>
      </c>
      <c r="B26" s="18">
        <v>0.62</v>
      </c>
      <c r="C26" s="43">
        <f>+(+D26+F26+H26+J26+L26+N26+P26+R26+T26+V26+X26+Z26)/12</f>
        <v>-250</v>
      </c>
      <c r="D26" s="30">
        <v>-500</v>
      </c>
      <c r="E26" s="31">
        <f>+B25*D26</f>
        <v>-550</v>
      </c>
      <c r="F26" s="30">
        <v>0</v>
      </c>
      <c r="G26" s="31">
        <f>+B25*F26</f>
        <v>0</v>
      </c>
      <c r="H26" s="30">
        <v>-500</v>
      </c>
      <c r="I26" s="31">
        <f>+B25*H26</f>
        <v>-550</v>
      </c>
      <c r="J26" s="30">
        <v>0</v>
      </c>
      <c r="K26" s="31">
        <f>+B25*J26</f>
        <v>0</v>
      </c>
      <c r="L26" s="30">
        <v>0</v>
      </c>
      <c r="M26" s="31">
        <f>+B25*L26</f>
        <v>0</v>
      </c>
      <c r="N26" s="30">
        <v>-500</v>
      </c>
      <c r="O26" s="31">
        <f>+B25*N26</f>
        <v>-550</v>
      </c>
      <c r="P26" s="30">
        <v>-500</v>
      </c>
      <c r="Q26" s="31">
        <f>+B25*P26</f>
        <v>-550</v>
      </c>
      <c r="R26" s="30">
        <v>0</v>
      </c>
      <c r="S26" s="31">
        <f>+B25*R26</f>
        <v>0</v>
      </c>
      <c r="T26" s="30">
        <v>-500</v>
      </c>
      <c r="U26" s="31">
        <f>+B25*T26</f>
        <v>-550</v>
      </c>
      <c r="V26" s="30">
        <v>0</v>
      </c>
      <c r="W26" s="31">
        <f>+B25*V26</f>
        <v>0</v>
      </c>
      <c r="X26" s="30">
        <v>-500</v>
      </c>
      <c r="Y26" s="31">
        <f>+B25*X26</f>
        <v>-550</v>
      </c>
      <c r="Z26" s="30">
        <v>0</v>
      </c>
      <c r="AA26" s="31">
        <f>+B25*Z26</f>
        <v>0</v>
      </c>
      <c r="AB26" s="60">
        <f t="shared" ref="AB26:AC26" si="18">+D26+F26+H26+J26+L26+N26+P26+R26+T26+V26+X26+Z26</f>
        <v>-3000</v>
      </c>
      <c r="AC26" s="1">
        <f t="shared" si="18"/>
        <v>-3300</v>
      </c>
      <c r="AD26" s="19"/>
      <c r="AE26" s="1"/>
      <c r="AF26" s="1"/>
      <c r="AG26" s="1"/>
      <c r="AH26" s="67"/>
      <c r="AM26" s="45"/>
      <c r="AN26" s="48">
        <f>+AM34*0.3</f>
        <v>0</v>
      </c>
      <c r="AO26" s="48">
        <v>18932.98</v>
      </c>
      <c r="AP26" s="48">
        <f>-3800-4400</f>
        <v>-8200</v>
      </c>
      <c r="AQ26" s="49">
        <f>+AQ24+AO26+AN26+AP26</f>
        <v>41445.820000000007</v>
      </c>
      <c r="AR26" s="30" t="s">
        <v>69</v>
      </c>
      <c r="AS26" s="30" t="s">
        <v>74</v>
      </c>
      <c r="AT26" s="49">
        <v>0</v>
      </c>
    </row>
    <row r="27" spans="1:71" ht="15.75" customHeight="1" x14ac:dyDescent="0.2">
      <c r="A27" s="42" t="s">
        <v>15</v>
      </c>
      <c r="B27" s="34">
        <v>3.4</v>
      </c>
      <c r="C27" s="37">
        <f>+(E27+G27+I27+K27+M27+O27+Q27+S27+U27+W27+Y27+AA27)/3000</f>
        <v>3.6466666666666665</v>
      </c>
      <c r="D27" s="36"/>
      <c r="E27" s="37">
        <v>1770</v>
      </c>
      <c r="F27" s="36"/>
      <c r="G27" s="37">
        <v>0</v>
      </c>
      <c r="H27" s="36"/>
      <c r="I27" s="37">
        <v>1770</v>
      </c>
      <c r="J27" s="36"/>
      <c r="K27" s="37">
        <v>0</v>
      </c>
      <c r="L27" s="36"/>
      <c r="M27" s="37">
        <v>0</v>
      </c>
      <c r="N27" s="36"/>
      <c r="O27" s="37">
        <v>1850</v>
      </c>
      <c r="P27" s="36"/>
      <c r="Q27" s="37">
        <v>1850</v>
      </c>
      <c r="R27" s="36"/>
      <c r="S27" s="37">
        <v>0</v>
      </c>
      <c r="T27" s="36"/>
      <c r="U27" s="37">
        <v>1850</v>
      </c>
      <c r="V27" s="36"/>
      <c r="W27" s="37">
        <v>0</v>
      </c>
      <c r="X27" s="36"/>
      <c r="Y27" s="37">
        <v>1850</v>
      </c>
      <c r="Z27" s="36"/>
      <c r="AA27" s="37">
        <v>0</v>
      </c>
      <c r="AB27" s="50"/>
      <c r="AC27" s="50">
        <f>+E27+G27+I27+K27+M27+O27+Q27+S27+U27+W27+Y27+AA27</f>
        <v>10940</v>
      </c>
      <c r="AD27" s="37">
        <f>+AC27/+AB26</f>
        <v>-3.6466666666666665</v>
      </c>
      <c r="AE27" s="1">
        <f>+AC25*AD27</f>
        <v>-6111.8133333333335</v>
      </c>
      <c r="AF27" s="1">
        <f>+Z25*AD27</f>
        <v>-6111.8133333333335</v>
      </c>
      <c r="AG27" s="1">
        <f>+Z25*B25</f>
        <v>1843.6000000000001</v>
      </c>
      <c r="AH27" s="37">
        <v>6778.5</v>
      </c>
      <c r="AM27" s="47">
        <f t="shared" ref="AM27:AN27" si="19">+F27+I27+L27+P27+S27+V27+Z27+AC27+AG27</f>
        <v>14553.6</v>
      </c>
      <c r="AN27" s="31">
        <f t="shared" si="19"/>
        <v>8624.8533333333326</v>
      </c>
      <c r="AO27" s="31">
        <f>+AO26+AM27</f>
        <v>33486.58</v>
      </c>
      <c r="AP27" s="31">
        <v>-8200</v>
      </c>
      <c r="AQ27" s="37">
        <f>+AO27+AP27</f>
        <v>25286.58</v>
      </c>
      <c r="AR27" s="19"/>
      <c r="AS27" s="19"/>
      <c r="AT27" s="37"/>
    </row>
    <row r="28" spans="1:71" ht="15.75" customHeight="1" x14ac:dyDescent="0.2">
      <c r="A28" s="28" t="s">
        <v>11</v>
      </c>
      <c r="B28" s="12">
        <v>1.1000000000000001</v>
      </c>
      <c r="C28" s="13">
        <v>575</v>
      </c>
      <c r="D28" s="26">
        <v>2584</v>
      </c>
      <c r="E28" s="27">
        <f>+D28/C28</f>
        <v>4.493913043478261</v>
      </c>
      <c r="F28" s="26">
        <f>+D28+D29</f>
        <v>2084</v>
      </c>
      <c r="G28" s="27">
        <f>+F28/C28</f>
        <v>3.6243478260869564</v>
      </c>
      <c r="H28" s="26">
        <f>+F28+F29</f>
        <v>1084</v>
      </c>
      <c r="I28" s="27">
        <f>+H28/C28</f>
        <v>1.8852173913043477</v>
      </c>
      <c r="J28" s="26">
        <f>+H28+H29+2160</f>
        <v>2160</v>
      </c>
      <c r="K28" s="27">
        <f>+J28/C28</f>
        <v>3.7565217391304349</v>
      </c>
      <c r="L28" s="26">
        <f>+J28+J29</f>
        <v>2160</v>
      </c>
      <c r="M28" s="27">
        <f>+L28/C28</f>
        <v>3.7565217391304349</v>
      </c>
      <c r="N28" s="26">
        <f>+L28+L2</f>
        <v>2160</v>
      </c>
      <c r="O28" s="27">
        <f>+N28/C28</f>
        <v>3.7565217391304349</v>
      </c>
      <c r="P28" s="26">
        <f>+N28+N29</f>
        <v>1160</v>
      </c>
      <c r="Q28" s="27">
        <f>+P28/C28</f>
        <v>2.017391304347826</v>
      </c>
      <c r="R28" s="26">
        <f>+P28+P29+3120</f>
        <v>3780</v>
      </c>
      <c r="S28" s="27">
        <f>+R28/C28</f>
        <v>6.5739130434782611</v>
      </c>
      <c r="T28" s="26">
        <f>+R28+R29</f>
        <v>3280</v>
      </c>
      <c r="U28" s="27">
        <f>+T28/C28</f>
        <v>5.7043478260869565</v>
      </c>
      <c r="V28" s="26">
        <f>+T28+T29</f>
        <v>3280</v>
      </c>
      <c r="W28" s="27">
        <f>+V28/C28</f>
        <v>5.7043478260869565</v>
      </c>
      <c r="X28" s="26">
        <f>+V28+V29</f>
        <v>2780</v>
      </c>
      <c r="Y28" s="80">
        <f>+X28/C28</f>
        <v>4.8347826086956518</v>
      </c>
      <c r="Z28" s="26">
        <f>+X28+X29</f>
        <v>2780</v>
      </c>
      <c r="AA28" s="27">
        <f>+Z28/C28</f>
        <v>4.8347826086956518</v>
      </c>
      <c r="AB28" s="58"/>
      <c r="AC28" s="59">
        <f>+C28*AA28</f>
        <v>2780</v>
      </c>
      <c r="AD28" s="13"/>
      <c r="AE28" s="1"/>
      <c r="AF28" s="1"/>
      <c r="AG28" s="1"/>
      <c r="AH28" s="50"/>
      <c r="AM28" s="1"/>
      <c r="AN28" s="1"/>
      <c r="AO28" s="1"/>
      <c r="AP28" s="1"/>
      <c r="AQ28" s="1"/>
      <c r="AT28" s="1"/>
    </row>
    <row r="29" spans="1:71" ht="15.75" customHeight="1" x14ac:dyDescent="0.2">
      <c r="A29" s="28" t="s">
        <v>27</v>
      </c>
      <c r="B29" s="18">
        <v>0.86</v>
      </c>
      <c r="C29" s="43">
        <f>+(+D29+F29+H29+J29+L29+N29+P29+R29+T29+V29+X29+Z29)/12</f>
        <v>-465.33333333333331</v>
      </c>
      <c r="D29" s="30">
        <v>-500</v>
      </c>
      <c r="E29" s="31">
        <f>+B28*D29</f>
        <v>-550</v>
      </c>
      <c r="F29" s="30">
        <v>-1000</v>
      </c>
      <c r="G29" s="31">
        <f>+B28*F29</f>
        <v>-1100</v>
      </c>
      <c r="H29" s="30">
        <v>-1084</v>
      </c>
      <c r="I29" s="31">
        <f>+B28*H29</f>
        <v>-1192.4000000000001</v>
      </c>
      <c r="J29" s="30">
        <v>0</v>
      </c>
      <c r="K29" s="31">
        <f>+B28*J29</f>
        <v>0</v>
      </c>
      <c r="L29" s="30">
        <v>0</v>
      </c>
      <c r="M29" s="31">
        <f>+B28*L29</f>
        <v>0</v>
      </c>
      <c r="N29" s="30">
        <v>-1000</v>
      </c>
      <c r="O29" s="31">
        <f>+B28*N29</f>
        <v>-1100</v>
      </c>
      <c r="P29" s="30">
        <v>-500</v>
      </c>
      <c r="Q29" s="31">
        <f>+B28*P29</f>
        <v>-550</v>
      </c>
      <c r="R29" s="30">
        <v>-500</v>
      </c>
      <c r="S29" s="31">
        <f>+B28*R29</f>
        <v>-550</v>
      </c>
      <c r="T29" s="30">
        <v>0</v>
      </c>
      <c r="U29" s="31">
        <f>+B28*T29</f>
        <v>0</v>
      </c>
      <c r="V29" s="30">
        <v>-500</v>
      </c>
      <c r="W29" s="31">
        <f>+B28*V29</f>
        <v>-550</v>
      </c>
      <c r="X29" s="30">
        <v>0</v>
      </c>
      <c r="Y29" s="31">
        <f>+B28*X29</f>
        <v>0</v>
      </c>
      <c r="Z29" s="30">
        <v>-500</v>
      </c>
      <c r="AA29" s="31">
        <f>+B28*Z29</f>
        <v>-550</v>
      </c>
      <c r="AB29" s="60">
        <f t="shared" ref="AB29:AC29" si="20">+D29+F29+H29+J29+L29+N29+P29+R29+T29+V29+X29+Z29</f>
        <v>-5584</v>
      </c>
      <c r="AC29" s="1">
        <f t="shared" si="20"/>
        <v>-6142.4</v>
      </c>
      <c r="AD29" s="19"/>
      <c r="AE29" s="1"/>
      <c r="AF29" s="1"/>
      <c r="AG29" s="1"/>
      <c r="AH29" s="50">
        <f>+AH5+AH7+AH9+AH11+AH13+AH15+AH17+AH19+AH21+AH23+AH25+AH27</f>
        <v>29140.45</v>
      </c>
      <c r="AL29" s="82">
        <f>+E29+H29+K29+O29+R29+U29+Y29+AB29+AF29</f>
        <v>-8818</v>
      </c>
      <c r="AM29" s="1"/>
      <c r="AN29" s="1"/>
      <c r="AO29" s="1">
        <f>SUM(AO4:AO26)</f>
        <v>476331.34104812832</v>
      </c>
      <c r="AP29" s="1"/>
      <c r="AQ29" s="1">
        <f>+AQ5+AQ7+AQ9+AQ11+AQ13+AQ15+AQ17+AQ19+AQ21+AQ23+AQ25+AQ27</f>
        <v>319194.1710481284</v>
      </c>
    </row>
    <row r="30" spans="1:71" ht="15.75" customHeight="1" x14ac:dyDescent="0.2">
      <c r="A30" s="42" t="s">
        <v>15</v>
      </c>
      <c r="B30" s="34">
        <v>3.4</v>
      </c>
      <c r="C30" s="37">
        <f>+(E30+G30+I30+K30+M30+O30+Q30+S30+U30+W30+Y30+AA30)/5584</f>
        <v>3.6259598853868198</v>
      </c>
      <c r="D30" s="36"/>
      <c r="E30" s="37">
        <v>1770</v>
      </c>
      <c r="F30" s="36"/>
      <c r="G30" s="37">
        <v>3540</v>
      </c>
      <c r="H30" s="36"/>
      <c r="I30" s="37">
        <v>3837.36</v>
      </c>
      <c r="J30" s="36"/>
      <c r="K30" s="37">
        <v>0</v>
      </c>
      <c r="L30" s="36"/>
      <c r="M30" s="37">
        <v>0</v>
      </c>
      <c r="N30" s="36"/>
      <c r="O30" s="37">
        <v>3700</v>
      </c>
      <c r="P30" s="36"/>
      <c r="Q30" s="37">
        <v>1850</v>
      </c>
      <c r="R30" s="36"/>
      <c r="S30" s="37">
        <v>1850</v>
      </c>
      <c r="T30" s="36"/>
      <c r="U30" s="37">
        <v>0</v>
      </c>
      <c r="V30" s="36"/>
      <c r="W30" s="37">
        <v>1850</v>
      </c>
      <c r="X30" s="36"/>
      <c r="Y30" s="37">
        <v>0</v>
      </c>
      <c r="Z30" s="36"/>
      <c r="AA30" s="37">
        <v>1850</v>
      </c>
      <c r="AB30" s="50"/>
      <c r="AC30" s="50">
        <f>+E30+G30+I30+K30+M30+O30+Q30+S30+U30+W30+Y30+AA30</f>
        <v>20247.36</v>
      </c>
      <c r="AD30" s="37">
        <f>+AC30/+AB29</f>
        <v>-3.6259598853868198</v>
      </c>
      <c r="AE30" s="1">
        <f>+AC28*AD30</f>
        <v>-10080.168481375358</v>
      </c>
      <c r="AF30" s="1">
        <f>+Z28*AD30</f>
        <v>-10080.168481375358</v>
      </c>
      <c r="AG30" s="1">
        <f>+Z28*B28</f>
        <v>3058.0000000000005</v>
      </c>
      <c r="AH30" s="37" t="e">
        <f>+AH29/+AG28</f>
        <v>#DIV/0!</v>
      </c>
      <c r="AL30" s="4" t="s">
        <v>58</v>
      </c>
    </row>
    <row r="31" spans="1:71" ht="15.75" customHeight="1" x14ac:dyDescent="0.2">
      <c r="A31" s="59"/>
      <c r="B31" s="18"/>
      <c r="C31" s="19"/>
      <c r="D31" s="30"/>
      <c r="E31" s="32"/>
      <c r="F31" s="30"/>
      <c r="G31" s="32"/>
      <c r="H31" s="30"/>
      <c r="I31" s="32"/>
      <c r="J31" s="30"/>
      <c r="K31" s="32"/>
      <c r="L31" s="30"/>
      <c r="M31" s="32"/>
      <c r="N31" s="30"/>
      <c r="O31" s="32"/>
      <c r="P31" s="30"/>
      <c r="Q31" s="32"/>
      <c r="R31" s="30"/>
      <c r="S31" s="32"/>
      <c r="T31" s="30"/>
      <c r="U31" s="32"/>
      <c r="V31" s="30"/>
      <c r="W31" s="32"/>
      <c r="X31" s="30"/>
      <c r="Y31" s="32"/>
      <c r="Z31" s="30"/>
      <c r="AA31" s="32"/>
      <c r="AB31" s="3"/>
      <c r="AE31" s="1"/>
      <c r="AF31" s="1"/>
      <c r="AG31" s="1"/>
      <c r="AH31" s="1" t="e">
        <f>+AF29*AH30</f>
        <v>#DIV/0!</v>
      </c>
      <c r="AI31" s="1"/>
      <c r="AJ31" s="1"/>
      <c r="AK31" s="1"/>
      <c r="AL31" s="1" t="e">
        <f t="shared" ref="AL31:AL33" si="21">SUM(E31:AH31)</f>
        <v>#DIV/0!</v>
      </c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15.75" customHeight="1" x14ac:dyDescent="0.2">
      <c r="A32" s="25" t="s">
        <v>12</v>
      </c>
      <c r="B32" s="12">
        <v>1.83</v>
      </c>
      <c r="C32" s="13">
        <v>350</v>
      </c>
      <c r="D32" s="59">
        <v>3137</v>
      </c>
      <c r="E32" s="27">
        <f>+D32/C32</f>
        <v>8.9628571428571426</v>
      </c>
      <c r="F32" s="26">
        <f>+D32+D33</f>
        <v>3037</v>
      </c>
      <c r="G32" s="27">
        <f>+F32/C32</f>
        <v>8.6771428571428579</v>
      </c>
      <c r="H32" s="26">
        <f>+F32+F33</f>
        <v>2337</v>
      </c>
      <c r="I32" s="27">
        <f>+H32/C32</f>
        <v>6.677142857142857</v>
      </c>
      <c r="J32" s="26">
        <f>+H32+H33</f>
        <v>1737</v>
      </c>
      <c r="K32" s="27">
        <f>+J32/C32</f>
        <v>4.9628571428571426</v>
      </c>
      <c r="L32" s="26">
        <f>+J32+J33+6188</f>
        <v>7925</v>
      </c>
      <c r="M32" s="27">
        <f>+L32/C32</f>
        <v>22.642857142857142</v>
      </c>
      <c r="N32" s="26">
        <f>+L32+L33</f>
        <v>7875</v>
      </c>
      <c r="O32" s="27">
        <f>+N32/C32</f>
        <v>22.5</v>
      </c>
      <c r="P32" s="26">
        <f>+N32+N33</f>
        <v>7175</v>
      </c>
      <c r="Q32" s="27">
        <f>+P32/C32</f>
        <v>20.5</v>
      </c>
      <c r="R32" s="26">
        <f>+P32+P33</f>
        <v>7125</v>
      </c>
      <c r="S32" s="27">
        <f>+R32/C32</f>
        <v>20.357142857142858</v>
      </c>
      <c r="T32" s="26">
        <f>+R32+R33</f>
        <v>6525</v>
      </c>
      <c r="U32" s="27">
        <f>+T32/C32</f>
        <v>18.642857142857142</v>
      </c>
      <c r="V32" s="26">
        <f>+T32+T33</f>
        <v>6525</v>
      </c>
      <c r="W32" s="27">
        <f>+V32/C32</f>
        <v>18.642857142857142</v>
      </c>
      <c r="X32" s="26">
        <f>+V32+V33</f>
        <v>5925</v>
      </c>
      <c r="Y32" s="27">
        <f>+X32/C32</f>
        <v>16.928571428571427</v>
      </c>
      <c r="Z32" s="26">
        <f>+X32+X33</f>
        <v>5369</v>
      </c>
      <c r="AA32" s="27">
        <f>+Z32/C32</f>
        <v>15.34</v>
      </c>
      <c r="AB32" s="58"/>
      <c r="AC32" s="59">
        <f>+C32*AA32</f>
        <v>5369</v>
      </c>
      <c r="AD32" s="13"/>
      <c r="AE32" s="1"/>
      <c r="AF32" s="1"/>
      <c r="AG32" s="1"/>
      <c r="AH32" s="1" t="e">
        <f>+AF18*AH30</f>
        <v>#DIV/0!</v>
      </c>
      <c r="AI32" s="1"/>
      <c r="AJ32" s="1"/>
      <c r="AK32" s="1"/>
      <c r="AL32" s="1" t="e">
        <f t="shared" si="21"/>
        <v>#DIV/0!</v>
      </c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:71" ht="15.75" customHeight="1" x14ac:dyDescent="0.2">
      <c r="A33" s="28" t="s">
        <v>27</v>
      </c>
      <c r="B33" s="18">
        <v>1.6</v>
      </c>
      <c r="C33" s="43">
        <f>+(+D33+F33+H33+J33+L33+N33+P33+R33+T33+V33+X33+Z33)/12</f>
        <v>-358.33333333333331</v>
      </c>
      <c r="D33" s="4">
        <v>-100</v>
      </c>
      <c r="E33" s="31">
        <f>+B32*D33</f>
        <v>-183</v>
      </c>
      <c r="F33" s="30">
        <v>-700</v>
      </c>
      <c r="G33" s="31">
        <f>+B32*F33</f>
        <v>-1281</v>
      </c>
      <c r="H33" s="30">
        <v>-600</v>
      </c>
      <c r="I33" s="31">
        <f>+B32*H33</f>
        <v>-1098</v>
      </c>
      <c r="J33" s="30">
        <v>0</v>
      </c>
      <c r="K33" s="31">
        <f>+B32*J33</f>
        <v>0</v>
      </c>
      <c r="L33" s="30">
        <v>-50</v>
      </c>
      <c r="M33" s="31">
        <f>+B32*L33</f>
        <v>-91.5</v>
      </c>
      <c r="N33" s="30">
        <v>-700</v>
      </c>
      <c r="O33" s="31">
        <f>+B32*N33</f>
        <v>-1281</v>
      </c>
      <c r="P33" s="30">
        <v>-50</v>
      </c>
      <c r="Q33" s="31">
        <f>+B32*P33</f>
        <v>-91.5</v>
      </c>
      <c r="R33" s="30">
        <v>-600</v>
      </c>
      <c r="S33" s="31">
        <f>+B32*R33</f>
        <v>-1098</v>
      </c>
      <c r="T33" s="30">
        <v>0</v>
      </c>
      <c r="U33" s="31">
        <f>+B32*T33</f>
        <v>0</v>
      </c>
      <c r="V33" s="30">
        <v>-600</v>
      </c>
      <c r="W33" s="31">
        <f>+B32*V33</f>
        <v>-1098</v>
      </c>
      <c r="X33" s="30">
        <v>-556</v>
      </c>
      <c r="Y33" s="31">
        <f>+B32*X33</f>
        <v>-1017.48</v>
      </c>
      <c r="Z33" s="30">
        <v>-344</v>
      </c>
      <c r="AA33" s="31">
        <f>+B32*Z33</f>
        <v>-629.52</v>
      </c>
      <c r="AB33" s="60">
        <f t="shared" ref="AB33:AC33" si="22">+D33+F33+H33+J33+L33+N33+P33+R33+T33+V33+X33+Z33</f>
        <v>-4300</v>
      </c>
      <c r="AC33" s="1">
        <f t="shared" si="22"/>
        <v>-7869</v>
      </c>
      <c r="AD33" s="19"/>
      <c r="AE33" s="1"/>
      <c r="AF33" s="1"/>
      <c r="AG33" s="1"/>
      <c r="AH33" s="1">
        <f>+AF18*AF2</f>
        <v>0</v>
      </c>
      <c r="AI33" s="1"/>
      <c r="AJ33" s="1"/>
      <c r="AK33" s="1"/>
      <c r="AL33" s="1">
        <f t="shared" si="21"/>
        <v>-24238</v>
      </c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:71" ht="15.75" customHeight="1" x14ac:dyDescent="0.2">
      <c r="A34" s="44" t="s">
        <v>15</v>
      </c>
      <c r="B34" s="68">
        <v>5.99</v>
      </c>
      <c r="C34" s="37">
        <f>+(E34+G34+I34+K34+M34+O34+Q34+S34+U34+W34+Y34+AA34)/4300</f>
        <v>5.7466976744186056</v>
      </c>
      <c r="D34" s="67"/>
      <c r="E34" s="37">
        <v>650</v>
      </c>
      <c r="F34" s="67"/>
      <c r="G34" s="69">
        <v>4040</v>
      </c>
      <c r="H34" s="67"/>
      <c r="I34" s="37">
        <v>3355</v>
      </c>
      <c r="J34" s="67"/>
      <c r="K34" s="69">
        <v>0</v>
      </c>
      <c r="L34" s="67"/>
      <c r="M34" s="37">
        <v>307.5</v>
      </c>
      <c r="N34" s="67"/>
      <c r="O34" s="37">
        <v>4040</v>
      </c>
      <c r="P34" s="67"/>
      <c r="Q34" s="37">
        <v>307.5</v>
      </c>
      <c r="R34" s="67"/>
      <c r="S34" s="37">
        <v>3355</v>
      </c>
      <c r="T34" s="67"/>
      <c r="U34" s="37">
        <v>0</v>
      </c>
      <c r="V34" s="67"/>
      <c r="W34" s="37">
        <v>3285</v>
      </c>
      <c r="X34" s="67"/>
      <c r="Y34" s="37">
        <v>3014.4</v>
      </c>
      <c r="Z34" s="67"/>
      <c r="AA34" s="37">
        <v>2356.4</v>
      </c>
      <c r="AB34" s="50"/>
      <c r="AC34" s="50">
        <f>+E34+G34+I34+K34+M34+O34+Q34+S34+U34+W34+Y34+AA34</f>
        <v>24710.800000000003</v>
      </c>
      <c r="AD34" s="37">
        <f>+AC34/+AB33</f>
        <v>-5.7466976744186056</v>
      </c>
      <c r="AE34" s="1">
        <f>+AC32*AD34</f>
        <v>-30854.019813953495</v>
      </c>
      <c r="AF34" s="1">
        <f>+Z32*AD34</f>
        <v>-30854.019813953495</v>
      </c>
      <c r="AG34" s="1">
        <f>+Z32*B32</f>
        <v>9825.27</v>
      </c>
    </row>
    <row r="35" spans="1:71" ht="15.75" customHeight="1" x14ac:dyDescent="0.2">
      <c r="B35" s="6"/>
      <c r="C35" s="4">
        <f>SUM(C5:C33)</f>
        <v>563.09163638913287</v>
      </c>
      <c r="E35" s="3"/>
      <c r="G35" s="3"/>
      <c r="I35" s="3"/>
      <c r="K35" s="3"/>
      <c r="AE35" s="1"/>
      <c r="AF35" s="1"/>
      <c r="AG35" s="1"/>
    </row>
    <row r="36" spans="1:71" ht="15.75" customHeight="1" x14ac:dyDescent="0.2">
      <c r="B36" s="6"/>
      <c r="E36" s="3"/>
      <c r="G36" s="3"/>
      <c r="I36" s="3"/>
      <c r="K36" s="3"/>
      <c r="AE36" s="1"/>
      <c r="AF36" s="1"/>
      <c r="AG36" s="1"/>
    </row>
    <row r="37" spans="1:71" ht="15.75" customHeight="1" x14ac:dyDescent="0.2">
      <c r="B37" s="6"/>
      <c r="E37" s="3"/>
      <c r="G37" s="3"/>
      <c r="I37" s="3"/>
      <c r="K37" s="3"/>
      <c r="AE37" s="1"/>
      <c r="AF37" s="1"/>
      <c r="AG37" s="1"/>
    </row>
    <row r="38" spans="1:71" ht="15.75" customHeight="1" x14ac:dyDescent="0.2">
      <c r="B38" s="6"/>
      <c r="E38" s="3"/>
      <c r="G38" s="3"/>
      <c r="I38" s="3"/>
      <c r="K38" s="3"/>
      <c r="AC38" s="4">
        <f>+AC5+AC8+AC11+AC15+AC18+AC21+AC25+AC28+AC32</f>
        <v>37514</v>
      </c>
      <c r="AD38" s="4" t="s">
        <v>58</v>
      </c>
      <c r="AE38" s="1">
        <f t="shared" ref="AE38:AG38" si="23">SUM(AE5:AE34)</f>
        <v>-93307.840198419814</v>
      </c>
      <c r="AF38" s="1">
        <f t="shared" si="23"/>
        <v>-93307.840198419814</v>
      </c>
      <c r="AG38" s="1">
        <f t="shared" si="23"/>
        <v>39864.730000000003</v>
      </c>
    </row>
    <row r="39" spans="1:71" ht="15.75" customHeight="1" x14ac:dyDescent="0.2">
      <c r="A39" s="45" t="s">
        <v>14</v>
      </c>
      <c r="B39" s="46"/>
      <c r="C39" s="46">
        <f t="shared" ref="C39:C40" si="24">(+E39+G39+I39+K39+M39+O39+Q39+S39+U39+W39+Y39+AA39)/12</f>
        <v>-4533.0266666666666</v>
      </c>
      <c r="D39" s="45">
        <v>0</v>
      </c>
      <c r="E39" s="47">
        <f t="shared" ref="E39:E40" si="25">+E6+E9+E12+E16+E19+E22+E26+E29+E33</f>
        <v>-5689.64</v>
      </c>
      <c r="F39" s="45">
        <v>-9433.56</v>
      </c>
      <c r="G39" s="47">
        <f t="shared" ref="G39:G40" si="26">+G6+G9+G12+G16+G19+G22+G26+G29+G33</f>
        <v>-3280.04</v>
      </c>
      <c r="H39" s="45">
        <v>0</v>
      </c>
      <c r="I39" s="47">
        <f t="shared" ref="I39:I40" si="27">+I6+I9+I12+I16+I19+I22+I26+I29+I33</f>
        <v>-7303.2999999999993</v>
      </c>
      <c r="J39" s="45">
        <v>-14950.4</v>
      </c>
      <c r="K39" s="47">
        <f t="shared" ref="K39:K40" si="28">+K6+K9+K12+K16+K19+K22+K26+K29+K33</f>
        <v>-3020.1600000000003</v>
      </c>
      <c r="L39" s="45">
        <v>0</v>
      </c>
      <c r="M39" s="47">
        <f t="shared" ref="M39:M40" si="29">+M6+M9+M12+M16+M19+M22+M26+M29+M33</f>
        <v>-4086.54</v>
      </c>
      <c r="N39" s="45">
        <v>0</v>
      </c>
      <c r="O39" s="47">
        <f t="shared" ref="O39:O40" si="30">+O6+O9+O12+O16+O19+O22+O26+O29+O33</f>
        <v>-8101.48</v>
      </c>
      <c r="P39" s="45">
        <v>0</v>
      </c>
      <c r="Q39" s="47">
        <f t="shared" ref="Q39:Q40" si="31">+Q6+Q9+Q12+Q16+Q19+Q22+Q26+Q29+Q33</f>
        <v>-5756.4000000000005</v>
      </c>
      <c r="R39" s="45">
        <v>0</v>
      </c>
      <c r="S39" s="47">
        <f t="shared" ref="S39:S40" si="32">+S6+S9+S12+S16+S19+S22+S26+S29+S33</f>
        <v>-3261.3199999999997</v>
      </c>
      <c r="T39" s="45">
        <v>0</v>
      </c>
      <c r="U39" s="47">
        <f t="shared" ref="U39:U40" si="33">+U6+U9+U12+U16+U19+U22+U26+U29+U33</f>
        <v>-4011.8</v>
      </c>
      <c r="V39" s="45">
        <v>0</v>
      </c>
      <c r="W39" s="47">
        <f>+W6+W9+W12+W16+W19+W22+W26+W29+W33</f>
        <v>-3604.48</v>
      </c>
      <c r="X39" s="45">
        <v>0</v>
      </c>
      <c r="Y39" s="47">
        <f t="shared" ref="Y39:Y40" si="34">+Y6+Y9+Y12+Y16+Y19+Y22+Y26+Y29+Y33</f>
        <v>-4307.6400000000003</v>
      </c>
      <c r="Z39" s="45">
        <v>0</v>
      </c>
      <c r="AA39" s="47">
        <f t="shared" ref="AA39:AA40" si="35">+AA6+AA9+AA12+AA16+AA19+AA22+AA26+AA29+AA33</f>
        <v>-1973.52</v>
      </c>
      <c r="AB39" s="1"/>
      <c r="AC39" s="1"/>
      <c r="AE39" s="1"/>
      <c r="AF39" s="1"/>
      <c r="AG39" s="1"/>
    </row>
    <row r="40" spans="1:71" ht="15.75" customHeight="1" x14ac:dyDescent="0.2">
      <c r="A40" s="48" t="s">
        <v>59</v>
      </c>
      <c r="B40" s="1"/>
      <c r="C40" s="1">
        <f t="shared" si="24"/>
        <v>10385.624166666668</v>
      </c>
      <c r="D40" s="48">
        <v>0</v>
      </c>
      <c r="E40" s="31">
        <f t="shared" si="25"/>
        <v>10297.880000000001</v>
      </c>
      <c r="F40" s="48">
        <v>0</v>
      </c>
      <c r="G40" s="31">
        <f t="shared" si="26"/>
        <v>9995.92</v>
      </c>
      <c r="H40" s="48">
        <v>0</v>
      </c>
      <c r="I40" s="31">
        <f t="shared" si="27"/>
        <v>17671.84</v>
      </c>
      <c r="J40" s="48">
        <v>0</v>
      </c>
      <c r="K40" s="31">
        <f t="shared" si="28"/>
        <v>5575.12</v>
      </c>
      <c r="L40" s="48">
        <v>0</v>
      </c>
      <c r="M40" s="31">
        <f t="shared" si="29"/>
        <v>7177.42</v>
      </c>
      <c r="N40" s="48">
        <v>0</v>
      </c>
      <c r="O40" s="31">
        <f t="shared" si="30"/>
        <v>18977.36</v>
      </c>
      <c r="P40" s="48">
        <v>0</v>
      </c>
      <c r="Q40" s="31">
        <f t="shared" si="31"/>
        <v>11432.54</v>
      </c>
      <c r="R40" s="48">
        <v>0</v>
      </c>
      <c r="S40" s="31">
        <f t="shared" si="32"/>
        <v>9449.74</v>
      </c>
      <c r="T40" s="48">
        <v>0</v>
      </c>
      <c r="U40" s="31">
        <f t="shared" si="33"/>
        <v>7762.44</v>
      </c>
      <c r="V40" s="48">
        <v>0</v>
      </c>
      <c r="W40" s="31">
        <f>+W7+W10+W13+W17+W20+W23+W27+W30+W34+345.32</f>
        <v>10123.31</v>
      </c>
      <c r="X40" s="48">
        <v>0</v>
      </c>
      <c r="Y40" s="31">
        <f t="shared" si="34"/>
        <v>9803.52</v>
      </c>
      <c r="Z40" s="48">
        <f>+AH39*0.3</f>
        <v>0</v>
      </c>
      <c r="AA40" s="31">
        <f t="shared" si="35"/>
        <v>6360.4</v>
      </c>
      <c r="AB40" s="1"/>
      <c r="AC40" s="1"/>
      <c r="AE40" s="1"/>
      <c r="AF40" s="1"/>
      <c r="AG40" s="1"/>
    </row>
    <row r="41" spans="1:71" ht="15.75" customHeight="1" x14ac:dyDescent="0.2">
      <c r="A41" s="48" t="s">
        <v>59</v>
      </c>
      <c r="B41" s="1">
        <v>19064.98</v>
      </c>
      <c r="C41" s="1"/>
      <c r="D41" s="48">
        <v>9647.880000000001</v>
      </c>
      <c r="E41" s="31">
        <f>+D41+E39</f>
        <v>3958.2400000000007</v>
      </c>
      <c r="F41" s="48">
        <v>9473.92</v>
      </c>
      <c r="G41" s="31">
        <f>+F41+G39</f>
        <v>6193.88</v>
      </c>
      <c r="H41" s="48">
        <v>17671.84</v>
      </c>
      <c r="I41" s="31">
        <f>+H41+I39</f>
        <v>10368.540000000001</v>
      </c>
      <c r="J41" s="48">
        <v>5575.12</v>
      </c>
      <c r="K41" s="31">
        <f>+J41+K39</f>
        <v>2554.9599999999996</v>
      </c>
      <c r="L41" s="70">
        <v>7177.42</v>
      </c>
      <c r="M41" s="31">
        <f>+L41+M39</f>
        <v>3090.88</v>
      </c>
      <c r="N41" s="48">
        <v>18977.36</v>
      </c>
      <c r="O41" s="31">
        <f>+N41+O39</f>
        <v>10875.880000000001</v>
      </c>
      <c r="P41" s="48">
        <v>11432.54</v>
      </c>
      <c r="Q41" s="31">
        <f>+P41+Q39</f>
        <v>5676.14</v>
      </c>
      <c r="R41" s="48">
        <v>9449.74</v>
      </c>
      <c r="S41" s="31">
        <f>+R41+S39</f>
        <v>6188.42</v>
      </c>
      <c r="T41" s="48">
        <v>7762.44</v>
      </c>
      <c r="U41" s="31">
        <f>+T41+U39</f>
        <v>3750.6399999999994</v>
      </c>
      <c r="V41" s="48">
        <v>9043</v>
      </c>
      <c r="W41" s="31">
        <f>+V41+W39</f>
        <v>5438.52</v>
      </c>
      <c r="X41" s="48">
        <v>9803.52</v>
      </c>
      <c r="Y41" s="31">
        <f>+X41+Y39</f>
        <v>5495.88</v>
      </c>
      <c r="Z41" s="48">
        <v>6360.4</v>
      </c>
      <c r="AA41" s="31">
        <f>+Z41+AA39</f>
        <v>4386.8799999999992</v>
      </c>
      <c r="AB41" s="1"/>
      <c r="AC41" s="1">
        <f>+E41+G41+I41+K41+M41+O41+Q41+S41+U41+W41+Y41+AA41</f>
        <v>67978.86</v>
      </c>
      <c r="AE41" s="1"/>
      <c r="AF41" s="1"/>
      <c r="AG41" s="1"/>
    </row>
    <row r="42" spans="1:71" ht="15.75" customHeight="1" x14ac:dyDescent="0.2">
      <c r="A42" s="48" t="s">
        <v>60</v>
      </c>
      <c r="B42" s="1"/>
      <c r="C42" s="1">
        <f>+E43+G43+I43+K43+M43+O43</f>
        <v>13180.11</v>
      </c>
      <c r="D42" s="48">
        <v>-3800</v>
      </c>
      <c r="E42" s="31">
        <v>-3800</v>
      </c>
      <c r="F42" s="48">
        <v>-3800</v>
      </c>
      <c r="G42" s="31">
        <v>-3800</v>
      </c>
      <c r="H42" s="48">
        <f>-3800-2092</f>
        <v>-5892</v>
      </c>
      <c r="I42" s="31">
        <v>-3800</v>
      </c>
      <c r="J42" s="48">
        <v>-3800</v>
      </c>
      <c r="K42" s="31">
        <v>-3800</v>
      </c>
      <c r="L42" s="48">
        <v>-3800</v>
      </c>
      <c r="M42" s="31">
        <v>-3800</v>
      </c>
      <c r="N42" s="48">
        <f>-3800-3900-4438.34</f>
        <v>-12138.34</v>
      </c>
      <c r="O42" s="31">
        <v>-3800</v>
      </c>
      <c r="P42" s="48">
        <f>-3800-10000</f>
        <v>-13800</v>
      </c>
      <c r="Q42" s="31">
        <v>-3800</v>
      </c>
      <c r="R42" s="48">
        <f>-3800</f>
        <v>-3800</v>
      </c>
      <c r="S42" s="31">
        <v>-3800</v>
      </c>
      <c r="T42" s="48">
        <f>-3800-3000</f>
        <v>-6800</v>
      </c>
      <c r="U42" s="31">
        <v>-3800</v>
      </c>
      <c r="V42" s="48">
        <f>-3800-2972.4</f>
        <v>-6772.4</v>
      </c>
      <c r="W42" s="31">
        <v>-3800</v>
      </c>
      <c r="X42" s="48">
        <f>-3800-12000</f>
        <v>-15800</v>
      </c>
      <c r="Y42" s="31">
        <v>-3800</v>
      </c>
      <c r="Z42" s="48">
        <f>-3800-3700-12322.82-10300</f>
        <v>-30122.82</v>
      </c>
      <c r="AA42" s="31">
        <v>-3800</v>
      </c>
      <c r="AB42" s="1"/>
      <c r="AC42" s="1"/>
      <c r="AE42" s="1"/>
      <c r="AF42" s="1"/>
      <c r="AG42" s="1"/>
    </row>
    <row r="43" spans="1:71" ht="15.75" customHeight="1" x14ac:dyDescent="0.2">
      <c r="A43" s="49" t="s">
        <v>61</v>
      </c>
      <c r="B43" s="50">
        <v>13968.27</v>
      </c>
      <c r="C43" s="50" t="s">
        <v>99</v>
      </c>
      <c r="D43" s="49">
        <f>+B41+B43+D41+D40+D42+D39</f>
        <v>38881.130000000005</v>
      </c>
      <c r="E43" s="83">
        <f>+E41+E42+E44</f>
        <v>-904.02999999999929</v>
      </c>
      <c r="F43" s="49">
        <f>+D43+F41+F40+F42+F39</f>
        <v>35121.490000000005</v>
      </c>
      <c r="G43" s="37">
        <f>+G41+G42</f>
        <v>2393.88</v>
      </c>
      <c r="H43" s="49">
        <f>+F43+H41+H40+H42+H39</f>
        <v>46901.33</v>
      </c>
      <c r="I43" s="37">
        <f>+I41+I42</f>
        <v>6568.5400000000009</v>
      </c>
      <c r="J43" s="49">
        <f>+H43+J41+J40+J42+J39</f>
        <v>33726.050000000003</v>
      </c>
      <c r="K43" s="83">
        <f>+K41+K42</f>
        <v>-1245.0400000000004</v>
      </c>
      <c r="L43" s="49">
        <f>+J43+L41+L40+L42+L39</f>
        <v>37103.47</v>
      </c>
      <c r="M43" s="83">
        <f>+M41+M42</f>
        <v>-709.11999999999989</v>
      </c>
      <c r="N43" s="49">
        <f>+L43+N41+N40+N42+N39</f>
        <v>43942.490000000005</v>
      </c>
      <c r="O43" s="37">
        <f>+O41+O42</f>
        <v>7075.880000000001</v>
      </c>
      <c r="P43" s="49">
        <f>+N43+P41+P40+P42+P39</f>
        <v>41575.030000000006</v>
      </c>
      <c r="Q43" s="37">
        <f>+Q41+Q42</f>
        <v>1876.1400000000003</v>
      </c>
      <c r="R43" s="49">
        <f>+P43+R41+R40+R42+R39</f>
        <v>47224.770000000004</v>
      </c>
      <c r="S43" s="37">
        <f>+S41+S42</f>
        <v>2388.42</v>
      </c>
      <c r="T43" s="49">
        <f>+R43+T41+T40+T42+T39</f>
        <v>48187.210000000006</v>
      </c>
      <c r="U43" s="83">
        <f>+U41+U42</f>
        <v>-49.360000000000582</v>
      </c>
      <c r="V43" s="49">
        <f>+T43+V41+V40+V42+V39</f>
        <v>50457.810000000005</v>
      </c>
      <c r="W43" s="37">
        <f>+W41+W42</f>
        <v>1638.5200000000004</v>
      </c>
      <c r="X43" s="49">
        <f>+V43+X41+X40+X42+X39</f>
        <v>44461.33</v>
      </c>
      <c r="Y43" s="37">
        <f>+Y41+Y42</f>
        <v>1695.88</v>
      </c>
      <c r="Z43" s="49">
        <f>+X43+Z41+Z40+Z42+Z39</f>
        <v>20698.910000000003</v>
      </c>
      <c r="AA43" s="37">
        <f>+AA41+AA42</f>
        <v>586.8799999999992</v>
      </c>
      <c r="AB43" s="1"/>
      <c r="AC43" s="1">
        <f>+E43+G43+I43+K43+M43+O43+Q43+S43+U43+W43+Y43+AA43</f>
        <v>21316.589999999997</v>
      </c>
      <c r="AE43" s="1"/>
      <c r="AF43" s="1"/>
      <c r="AG43" s="1"/>
    </row>
    <row r="44" spans="1:71" ht="15.75" customHeight="1" x14ac:dyDescent="0.2">
      <c r="B44" s="6"/>
      <c r="D44" s="30" t="s">
        <v>100</v>
      </c>
      <c r="E44" s="32">
        <v>-1062.27</v>
      </c>
      <c r="F44" s="30"/>
      <c r="G44" s="32"/>
      <c r="H44" s="54" t="s">
        <v>101</v>
      </c>
      <c r="I44" s="55"/>
      <c r="J44" s="54" t="s">
        <v>102</v>
      </c>
      <c r="K44" s="55"/>
      <c r="L44" s="30"/>
      <c r="M44" s="19"/>
      <c r="N44" s="54" t="s">
        <v>103</v>
      </c>
      <c r="O44" s="84"/>
      <c r="Q44" s="30"/>
      <c r="R44" s="30"/>
      <c r="S44" s="19"/>
      <c r="T44" s="54" t="s">
        <v>104</v>
      </c>
      <c r="U44" s="84"/>
      <c r="V44" s="30"/>
      <c r="W44" s="19"/>
      <c r="X44" s="54" t="s">
        <v>105</v>
      </c>
      <c r="Y44" s="84"/>
      <c r="Z44" s="54" t="s">
        <v>106</v>
      </c>
      <c r="AA44" s="84"/>
      <c r="AE44" s="1"/>
      <c r="AF44" s="1"/>
      <c r="AG44" s="1"/>
    </row>
    <row r="45" spans="1:71" ht="15.75" customHeight="1" x14ac:dyDescent="0.2">
      <c r="A45" s="1">
        <f>+E43+G43+I43+K43+M43+O43+Q43+S43</f>
        <v>17444.669999999998</v>
      </c>
      <c r="B45" s="6"/>
      <c r="D45" s="30"/>
      <c r="E45" s="32"/>
      <c r="F45" s="30"/>
      <c r="G45" s="32"/>
      <c r="H45" s="85"/>
      <c r="I45" s="32"/>
      <c r="J45" s="30"/>
      <c r="K45" s="32"/>
      <c r="L45" s="54" t="s">
        <v>107</v>
      </c>
      <c r="M45" s="84"/>
      <c r="N45" s="54" t="s">
        <v>108</v>
      </c>
      <c r="O45" s="84"/>
      <c r="P45" s="54" t="s">
        <v>109</v>
      </c>
      <c r="Q45" s="84"/>
      <c r="R45" s="30"/>
      <c r="S45" s="19"/>
      <c r="T45" s="54" t="s">
        <v>110</v>
      </c>
      <c r="U45" s="84"/>
      <c r="V45" s="86" t="s">
        <v>111</v>
      </c>
      <c r="W45" s="87"/>
      <c r="X45" s="30"/>
      <c r="Y45" s="19"/>
      <c r="Z45" s="54" t="s">
        <v>112</v>
      </c>
      <c r="AA45" s="19"/>
      <c r="AE45" s="1"/>
      <c r="AF45" s="1"/>
      <c r="AG45" s="1"/>
    </row>
    <row r="46" spans="1:71" ht="15.75" customHeight="1" x14ac:dyDescent="0.2">
      <c r="B46" s="6"/>
      <c r="D46" s="30"/>
      <c r="E46" s="32"/>
      <c r="F46" s="30"/>
      <c r="G46" s="32"/>
      <c r="H46" s="85"/>
      <c r="I46" s="32"/>
      <c r="J46" s="30"/>
      <c r="K46" s="32"/>
      <c r="L46" s="54"/>
      <c r="M46" s="84"/>
      <c r="N46" s="54" t="s">
        <v>113</v>
      </c>
      <c r="O46" s="84"/>
      <c r="P46" s="54" t="s">
        <v>114</v>
      </c>
      <c r="Q46" s="84"/>
      <c r="R46" s="30"/>
      <c r="S46" s="19"/>
      <c r="T46" s="30"/>
      <c r="U46" s="19"/>
      <c r="V46" s="73"/>
      <c r="W46" s="19"/>
      <c r="X46" s="30"/>
      <c r="Y46" s="19"/>
      <c r="Z46" s="30" t="s">
        <v>115</v>
      </c>
      <c r="AA46" s="19"/>
      <c r="AE46" s="1"/>
      <c r="AF46" s="1"/>
      <c r="AG46" s="1"/>
    </row>
    <row r="47" spans="1:71" ht="15.75" customHeight="1" x14ac:dyDescent="0.2">
      <c r="A47" s="1"/>
      <c r="B47" s="6"/>
      <c r="D47" s="49">
        <v>0</v>
      </c>
      <c r="E47" s="37"/>
      <c r="F47" s="49">
        <v>0</v>
      </c>
      <c r="G47" s="37"/>
      <c r="H47" s="49">
        <v>0</v>
      </c>
      <c r="I47" s="37"/>
      <c r="J47" s="49">
        <v>0</v>
      </c>
      <c r="K47" s="37"/>
      <c r="L47" s="49">
        <v>0</v>
      </c>
      <c r="M47" s="37"/>
      <c r="N47" s="49">
        <v>0</v>
      </c>
      <c r="O47" s="37"/>
      <c r="P47" s="49">
        <v>0</v>
      </c>
      <c r="Q47" s="37"/>
      <c r="R47" s="49">
        <v>0</v>
      </c>
      <c r="S47" s="37"/>
      <c r="T47" s="49">
        <v>0</v>
      </c>
      <c r="U47" s="37"/>
      <c r="V47" s="49">
        <v>0</v>
      </c>
      <c r="W47" s="37"/>
      <c r="X47" s="49">
        <v>0</v>
      </c>
      <c r="Y47" s="37"/>
      <c r="Z47" s="49">
        <v>0</v>
      </c>
      <c r="AA47" s="37"/>
      <c r="AB47" s="1"/>
      <c r="AE47" s="1"/>
      <c r="AF47" s="1"/>
      <c r="AG47" s="1"/>
    </row>
    <row r="48" spans="1:71" ht="15.75" customHeight="1" x14ac:dyDescent="0.2">
      <c r="B48" s="6"/>
      <c r="E48" s="3"/>
      <c r="G48" s="3"/>
      <c r="I48" s="3"/>
      <c r="K48" s="3"/>
      <c r="AE48" s="1"/>
      <c r="AF48" s="1"/>
      <c r="AG48" s="1"/>
    </row>
    <row r="49" spans="2:33" ht="15.75" customHeight="1" x14ac:dyDescent="0.2">
      <c r="B49" s="6"/>
      <c r="E49" s="3"/>
      <c r="F49" s="4" t="s">
        <v>116</v>
      </c>
      <c r="G49" s="3"/>
      <c r="H49" s="4" t="s">
        <v>117</v>
      </c>
      <c r="I49" s="3"/>
      <c r="J49" s="4" t="s">
        <v>118</v>
      </c>
      <c r="K49" s="3">
        <v>4950.3999999999996</v>
      </c>
      <c r="L49" s="4" t="s">
        <v>119</v>
      </c>
      <c r="M49" s="4">
        <v>10000</v>
      </c>
      <c r="N49" s="4" t="s">
        <v>120</v>
      </c>
      <c r="R49" s="4" t="s">
        <v>121</v>
      </c>
      <c r="AE49" s="1"/>
      <c r="AF49" s="1"/>
      <c r="AG49" s="1"/>
    </row>
    <row r="50" spans="2:33" ht="15.75" customHeight="1" x14ac:dyDescent="0.2">
      <c r="B50" s="6"/>
      <c r="E50" s="3"/>
      <c r="F50" s="4" t="s">
        <v>122</v>
      </c>
      <c r="G50" s="3"/>
      <c r="H50" s="4" t="s">
        <v>123</v>
      </c>
      <c r="I50" s="6">
        <v>0.8</v>
      </c>
      <c r="J50" s="2">
        <v>9840</v>
      </c>
      <c r="K50" s="3">
        <f t="shared" ref="K50:K57" si="36">+I50*J50</f>
        <v>7872</v>
      </c>
      <c r="L50" s="1"/>
      <c r="N50" s="4">
        <v>12</v>
      </c>
      <c r="O50" s="2">
        <v>6240</v>
      </c>
      <c r="P50" s="6">
        <v>0.8</v>
      </c>
      <c r="Q50" s="6">
        <f t="shared" ref="Q50:Q57" si="37">+O50*P50</f>
        <v>4992</v>
      </c>
      <c r="R50" s="4">
        <f>+O50/240</f>
        <v>26</v>
      </c>
      <c r="W50" s="2"/>
      <c r="X50" s="6"/>
      <c r="Y50" s="6"/>
      <c r="AE50" s="1"/>
      <c r="AF50" s="1"/>
      <c r="AG50" s="1"/>
    </row>
    <row r="51" spans="2:33" ht="15.75" customHeight="1" x14ac:dyDescent="0.2">
      <c r="B51" s="6"/>
      <c r="E51" s="3"/>
      <c r="F51" s="1">
        <v>9900.7999999999993</v>
      </c>
      <c r="G51" s="3"/>
      <c r="H51" s="4" t="s">
        <v>124</v>
      </c>
      <c r="I51" s="6">
        <v>0.57899999999999996</v>
      </c>
      <c r="J51" s="2">
        <v>3600</v>
      </c>
      <c r="K51" s="3">
        <f t="shared" si="36"/>
        <v>2084.3999999999996</v>
      </c>
      <c r="L51" s="1"/>
      <c r="N51" s="4">
        <v>8</v>
      </c>
      <c r="O51" s="2">
        <v>4680</v>
      </c>
      <c r="P51" s="6">
        <v>0.57899999999999996</v>
      </c>
      <c r="Q51" s="6">
        <f t="shared" si="37"/>
        <v>2709.72</v>
      </c>
      <c r="R51" s="4">
        <f>+O51/360</f>
        <v>13</v>
      </c>
      <c r="W51" s="2"/>
      <c r="X51" s="6"/>
      <c r="Y51" s="6"/>
      <c r="AE51" s="1"/>
      <c r="AF51" s="1"/>
      <c r="AG51" s="1"/>
    </row>
    <row r="52" spans="2:33" ht="15.75" customHeight="1" x14ac:dyDescent="0.2">
      <c r="B52" s="6"/>
      <c r="E52" s="3"/>
      <c r="F52" s="1"/>
      <c r="G52" s="3"/>
      <c r="H52" s="4" t="s">
        <v>125</v>
      </c>
      <c r="I52" s="6">
        <v>0.46700000000000003</v>
      </c>
      <c r="J52" s="2">
        <v>1080</v>
      </c>
      <c r="K52" s="3">
        <f t="shared" si="36"/>
        <v>504.36</v>
      </c>
      <c r="L52" s="1"/>
      <c r="N52" s="4">
        <v>6</v>
      </c>
      <c r="O52" s="2">
        <v>0</v>
      </c>
      <c r="P52" s="6">
        <v>0.46700000000000003</v>
      </c>
      <c r="Q52" s="6">
        <f t="shared" si="37"/>
        <v>0</v>
      </c>
      <c r="R52" s="4">
        <f t="shared" ref="R52:R53" si="38">+O52/240</f>
        <v>0</v>
      </c>
      <c r="W52" s="2"/>
      <c r="X52" s="6"/>
      <c r="Y52" s="6"/>
      <c r="AE52" s="1"/>
      <c r="AF52" s="1"/>
      <c r="AG52" s="1"/>
    </row>
    <row r="53" spans="2:33" ht="15.75" customHeight="1" x14ac:dyDescent="0.2">
      <c r="B53" s="6"/>
      <c r="E53" s="3"/>
      <c r="F53" s="4" t="s">
        <v>126</v>
      </c>
      <c r="G53" s="3"/>
      <c r="H53" s="4" t="s">
        <v>127</v>
      </c>
      <c r="I53" s="6">
        <v>0.71699999999999997</v>
      </c>
      <c r="J53" s="2">
        <v>960</v>
      </c>
      <c r="K53" s="3">
        <f t="shared" si="36"/>
        <v>688.31999999999994</v>
      </c>
      <c r="L53" s="1"/>
      <c r="N53" s="4" t="s">
        <v>128</v>
      </c>
      <c r="O53" s="2">
        <v>1200</v>
      </c>
      <c r="P53" s="6">
        <v>0.71699999999999997</v>
      </c>
      <c r="Q53" s="6">
        <f t="shared" si="37"/>
        <v>860.4</v>
      </c>
      <c r="R53" s="4">
        <f t="shared" si="38"/>
        <v>5</v>
      </c>
      <c r="W53" s="2"/>
      <c r="X53" s="6"/>
      <c r="Y53" s="6"/>
      <c r="AE53" s="1"/>
      <c r="AF53" s="1"/>
      <c r="AG53" s="1"/>
    </row>
    <row r="54" spans="2:33" ht="15.75" customHeight="1" x14ac:dyDescent="0.2">
      <c r="B54" s="6"/>
      <c r="E54" s="3"/>
      <c r="F54" s="1">
        <f>9900.8/2</f>
        <v>4950.3999999999996</v>
      </c>
      <c r="G54" s="3"/>
      <c r="H54" s="4" t="s">
        <v>129</v>
      </c>
      <c r="I54" s="6">
        <v>0.48899999999999999</v>
      </c>
      <c r="J54" s="2">
        <v>0</v>
      </c>
      <c r="K54" s="3">
        <f t="shared" si="36"/>
        <v>0</v>
      </c>
      <c r="L54" s="1"/>
      <c r="N54" s="4" t="s">
        <v>130</v>
      </c>
      <c r="O54" s="2">
        <v>360</v>
      </c>
      <c r="P54" s="6">
        <v>0.48899999999999999</v>
      </c>
      <c r="Q54" s="6">
        <f t="shared" si="37"/>
        <v>176.04</v>
      </c>
      <c r="R54" s="4">
        <f t="shared" ref="R54:R55" si="39">+O54/360</f>
        <v>1</v>
      </c>
      <c r="W54" s="2"/>
      <c r="X54" s="6"/>
      <c r="Y54" s="6"/>
      <c r="AE54" s="1"/>
      <c r="AF54" s="1"/>
      <c r="AG54" s="1"/>
    </row>
    <row r="55" spans="2:33" ht="15.75" customHeight="1" x14ac:dyDescent="0.2">
      <c r="B55" s="6"/>
      <c r="E55" s="3"/>
      <c r="G55" s="3"/>
      <c r="H55" s="4" t="s">
        <v>131</v>
      </c>
      <c r="I55" s="6">
        <v>0.377</v>
      </c>
      <c r="J55" s="2">
        <v>720</v>
      </c>
      <c r="K55" s="3">
        <f t="shared" si="36"/>
        <v>271.44</v>
      </c>
      <c r="L55" s="1"/>
      <c r="N55" s="4" t="s">
        <v>132</v>
      </c>
      <c r="O55" s="2">
        <v>360</v>
      </c>
      <c r="P55" s="6">
        <v>0.377</v>
      </c>
      <c r="Q55" s="6">
        <f t="shared" si="37"/>
        <v>135.72</v>
      </c>
      <c r="R55" s="4">
        <f t="shared" si="39"/>
        <v>1</v>
      </c>
      <c r="W55" s="2"/>
      <c r="X55" s="6"/>
      <c r="Y55" s="6"/>
      <c r="AE55" s="1"/>
      <c r="AF55" s="1"/>
      <c r="AG55" s="1"/>
    </row>
    <row r="56" spans="2:33" ht="15.75" customHeight="1" x14ac:dyDescent="0.2">
      <c r="B56" s="6"/>
      <c r="E56" s="3"/>
      <c r="G56" s="3"/>
      <c r="H56" s="4" t="s">
        <v>133</v>
      </c>
      <c r="I56" s="6">
        <v>0.754</v>
      </c>
      <c r="J56" s="2">
        <v>1200</v>
      </c>
      <c r="K56" s="3">
        <f t="shared" si="36"/>
        <v>904.8</v>
      </c>
      <c r="N56" s="1" t="s">
        <v>134</v>
      </c>
      <c r="O56" s="2">
        <v>1920</v>
      </c>
      <c r="P56" s="6">
        <v>0.754</v>
      </c>
      <c r="Q56" s="6">
        <f t="shared" si="37"/>
        <v>1447.68</v>
      </c>
      <c r="R56" s="4">
        <f>+O56/120</f>
        <v>16</v>
      </c>
      <c r="S56" s="4" t="s">
        <v>135</v>
      </c>
      <c r="V56" s="1"/>
      <c r="W56" s="2"/>
      <c r="X56" s="6"/>
      <c r="Y56" s="6"/>
      <c r="AE56" s="1"/>
      <c r="AF56" s="1"/>
      <c r="AG56" s="1"/>
    </row>
    <row r="57" spans="2:33" ht="15.75" customHeight="1" x14ac:dyDescent="0.2">
      <c r="B57" s="6"/>
      <c r="E57" s="3"/>
      <c r="G57" s="3"/>
      <c r="H57" s="4" t="s">
        <v>136</v>
      </c>
      <c r="I57" s="6">
        <v>0.99</v>
      </c>
      <c r="J57" s="2">
        <v>2160</v>
      </c>
      <c r="K57" s="3">
        <f t="shared" si="36"/>
        <v>2138.4</v>
      </c>
      <c r="L57" s="1"/>
      <c r="N57" s="1" t="s">
        <v>11</v>
      </c>
      <c r="O57" s="2">
        <v>3120</v>
      </c>
      <c r="P57" s="6">
        <v>0.99</v>
      </c>
      <c r="Q57" s="6">
        <f t="shared" si="37"/>
        <v>3088.8</v>
      </c>
      <c r="R57" s="4">
        <f>+O57/240</f>
        <v>13</v>
      </c>
      <c r="V57" s="1"/>
      <c r="W57" s="2"/>
      <c r="X57" s="6"/>
      <c r="Y57" s="6"/>
      <c r="AE57" s="1"/>
      <c r="AF57" s="1"/>
      <c r="AG57" s="1"/>
    </row>
    <row r="58" spans="2:33" ht="15.75" customHeight="1" x14ac:dyDescent="0.2">
      <c r="B58" s="6"/>
      <c r="E58" s="3"/>
      <c r="G58" s="3"/>
      <c r="I58" s="6"/>
      <c r="J58" s="1"/>
      <c r="K58" s="3"/>
      <c r="N58" s="1"/>
      <c r="O58" s="88">
        <f>SUM(O50:O57)</f>
        <v>17880</v>
      </c>
      <c r="Q58" s="6">
        <f t="shared" ref="Q58:R58" si="40">SUM(Q50:Q57)</f>
        <v>13410.36</v>
      </c>
      <c r="R58" s="4">
        <f t="shared" si="40"/>
        <v>75</v>
      </c>
      <c r="V58" s="1"/>
      <c r="W58" s="88"/>
      <c r="Y58" s="6"/>
      <c r="AE58" s="1"/>
      <c r="AF58" s="1"/>
      <c r="AG58" s="1"/>
    </row>
    <row r="59" spans="2:33" ht="15.75" customHeight="1" x14ac:dyDescent="0.2">
      <c r="B59" s="6"/>
      <c r="E59" s="3"/>
      <c r="G59" s="3"/>
      <c r="I59" s="6">
        <v>14483.16</v>
      </c>
      <c r="J59" s="1"/>
      <c r="K59" s="3"/>
      <c r="N59" s="1"/>
      <c r="O59" s="1"/>
      <c r="P59" s="4" t="s">
        <v>137</v>
      </c>
      <c r="Q59" s="6">
        <v>4438.4399999999996</v>
      </c>
      <c r="V59" s="1"/>
      <c r="W59" s="1"/>
      <c r="Y59" s="6"/>
      <c r="AE59" s="1"/>
      <c r="AF59" s="1"/>
      <c r="AG59" s="1"/>
    </row>
    <row r="60" spans="2:33" ht="15.75" customHeight="1" x14ac:dyDescent="0.2">
      <c r="H60" s="4" t="s">
        <v>138</v>
      </c>
      <c r="I60" s="6">
        <v>4483.16</v>
      </c>
      <c r="J60" s="1"/>
      <c r="N60" s="1"/>
      <c r="O60" s="1"/>
      <c r="P60" s="4" t="s">
        <v>139</v>
      </c>
      <c r="Q60" s="6">
        <v>9000</v>
      </c>
      <c r="V60" s="1"/>
      <c r="W60" s="1"/>
      <c r="Y60" s="6"/>
      <c r="AE60" s="1"/>
      <c r="AF60" s="1"/>
      <c r="AG60" s="1"/>
    </row>
    <row r="61" spans="2:33" ht="15.75" customHeight="1" x14ac:dyDescent="0.2">
      <c r="H61" s="4" t="s">
        <v>140</v>
      </c>
      <c r="I61" s="6">
        <v>10000</v>
      </c>
      <c r="J61" s="1"/>
      <c r="V61" s="1"/>
      <c r="W61" s="1"/>
      <c r="AE61" s="1"/>
      <c r="AF61" s="1"/>
      <c r="AG61" s="1"/>
    </row>
    <row r="62" spans="2:33" ht="15.75" customHeight="1" x14ac:dyDescent="0.2">
      <c r="I62" s="1"/>
      <c r="J62" s="1"/>
      <c r="L62" s="4" t="s">
        <v>141</v>
      </c>
      <c r="AE62" s="1"/>
      <c r="AF62" s="1"/>
      <c r="AG62" s="1"/>
    </row>
    <row r="63" spans="2:33" ht="15.75" customHeight="1" x14ac:dyDescent="0.2">
      <c r="I63" s="1"/>
      <c r="J63" s="1"/>
      <c r="L63" s="4" t="s">
        <v>142</v>
      </c>
      <c r="W63" s="1"/>
      <c r="AE63" s="1"/>
      <c r="AF63" s="1"/>
      <c r="AG63" s="1"/>
    </row>
    <row r="64" spans="2:33" ht="15.75" customHeight="1" x14ac:dyDescent="0.2">
      <c r="L64" s="4" t="s">
        <v>143</v>
      </c>
      <c r="N64" s="4">
        <v>0.85299999999999998</v>
      </c>
      <c r="W64" s="1"/>
      <c r="AE64" s="1"/>
      <c r="AF64" s="1"/>
      <c r="AG64" s="1"/>
    </row>
    <row r="65" spans="9:33" ht="15.75" customHeight="1" x14ac:dyDescent="0.2">
      <c r="J65" s="1"/>
      <c r="L65" s="4" t="s">
        <v>6</v>
      </c>
      <c r="N65" s="4">
        <v>0.49</v>
      </c>
      <c r="V65" s="4" t="s">
        <v>144</v>
      </c>
      <c r="X65" s="4" t="s">
        <v>145</v>
      </c>
      <c r="Z65" s="4" t="s">
        <v>121</v>
      </c>
      <c r="AE65" s="1"/>
      <c r="AF65" s="1"/>
      <c r="AG65" s="1"/>
    </row>
    <row r="66" spans="9:33" ht="15.75" customHeight="1" x14ac:dyDescent="0.2">
      <c r="I66" s="1"/>
      <c r="L66" s="4" t="s">
        <v>146</v>
      </c>
      <c r="N66" s="4">
        <v>0.76300000000000001</v>
      </c>
      <c r="V66" s="4">
        <v>12</v>
      </c>
      <c r="W66" s="2">
        <v>0</v>
      </c>
      <c r="X66" s="6">
        <v>0.8</v>
      </c>
      <c r="Y66" s="6">
        <f t="shared" ref="Y66:Y73" si="41">+W66*X66</f>
        <v>0</v>
      </c>
      <c r="Z66" s="4">
        <f>+W66/240</f>
        <v>0</v>
      </c>
      <c r="AE66" s="1"/>
      <c r="AF66" s="1"/>
      <c r="AG66" s="1"/>
    </row>
    <row r="67" spans="9:33" ht="15.75" customHeight="1" x14ac:dyDescent="0.2">
      <c r="I67" s="1"/>
      <c r="J67" s="1"/>
      <c r="L67" s="4" t="s">
        <v>147</v>
      </c>
      <c r="N67" s="4">
        <v>0.51900000000000002</v>
      </c>
      <c r="V67" s="4">
        <v>8</v>
      </c>
      <c r="W67" s="2">
        <v>6840</v>
      </c>
      <c r="X67" s="6">
        <v>0.57899999999999996</v>
      </c>
      <c r="Y67" s="6">
        <f t="shared" si="41"/>
        <v>3960.3599999999997</v>
      </c>
      <c r="Z67" s="4">
        <f>+W67/360</f>
        <v>19</v>
      </c>
      <c r="AE67" s="1"/>
      <c r="AF67" s="1"/>
      <c r="AG67" s="1"/>
    </row>
    <row r="68" spans="9:33" ht="15.75" customHeight="1" x14ac:dyDescent="0.2">
      <c r="I68" s="1"/>
      <c r="V68" s="4">
        <v>6</v>
      </c>
      <c r="W68" s="2">
        <v>0</v>
      </c>
      <c r="X68" s="6">
        <v>0.46700000000000003</v>
      </c>
      <c r="Y68" s="6">
        <f t="shared" si="41"/>
        <v>0</v>
      </c>
      <c r="Z68" s="4">
        <f t="shared" ref="Z68:Z69" si="42">+W68/240</f>
        <v>0</v>
      </c>
      <c r="AE68" s="1"/>
      <c r="AF68" s="1"/>
      <c r="AG68" s="1"/>
    </row>
    <row r="69" spans="9:33" ht="15.75" customHeight="1" x14ac:dyDescent="0.2">
      <c r="V69" s="4" t="s">
        <v>128</v>
      </c>
      <c r="W69" s="2">
        <v>3360</v>
      </c>
      <c r="X69" s="6">
        <v>0.71699999999999997</v>
      </c>
      <c r="Y69" s="6">
        <f t="shared" si="41"/>
        <v>2409.12</v>
      </c>
      <c r="Z69" s="4">
        <f t="shared" si="42"/>
        <v>14</v>
      </c>
      <c r="AE69" s="1"/>
      <c r="AF69" s="1"/>
      <c r="AG69" s="1"/>
    </row>
    <row r="70" spans="9:33" ht="15.75" customHeight="1" x14ac:dyDescent="0.2">
      <c r="V70" s="4" t="s">
        <v>130</v>
      </c>
      <c r="W70" s="2">
        <v>720</v>
      </c>
      <c r="X70" s="6">
        <v>0.48899999999999999</v>
      </c>
      <c r="Y70" s="6">
        <f t="shared" si="41"/>
        <v>352.08</v>
      </c>
      <c r="Z70" s="4">
        <f t="shared" ref="Z70:Z71" si="43">+W70/360</f>
        <v>2</v>
      </c>
      <c r="AE70" s="1"/>
      <c r="AF70" s="1"/>
      <c r="AG70" s="1"/>
    </row>
    <row r="71" spans="9:33" ht="15.75" customHeight="1" x14ac:dyDescent="0.2">
      <c r="V71" s="4" t="s">
        <v>132</v>
      </c>
      <c r="W71" s="2">
        <v>720</v>
      </c>
      <c r="X71" s="6">
        <v>0.377</v>
      </c>
      <c r="Y71" s="6">
        <f t="shared" si="41"/>
        <v>271.44</v>
      </c>
      <c r="Z71" s="4">
        <f t="shared" si="43"/>
        <v>2</v>
      </c>
      <c r="AE71" s="1"/>
      <c r="AF71" s="1"/>
      <c r="AG71" s="1"/>
    </row>
    <row r="72" spans="9:33" ht="15.75" customHeight="1" x14ac:dyDescent="0.2">
      <c r="V72" s="1" t="s">
        <v>134</v>
      </c>
      <c r="W72" s="2">
        <v>480</v>
      </c>
      <c r="X72" s="6">
        <v>0.754</v>
      </c>
      <c r="Y72" s="6">
        <f t="shared" si="41"/>
        <v>361.92</v>
      </c>
      <c r="Z72" s="4">
        <f>+W72/240</f>
        <v>2</v>
      </c>
      <c r="AE72" s="1"/>
      <c r="AF72" s="1"/>
      <c r="AG72" s="1"/>
    </row>
    <row r="73" spans="9:33" ht="15.75" customHeight="1" x14ac:dyDescent="0.2">
      <c r="V73" s="1" t="s">
        <v>11</v>
      </c>
      <c r="W73" s="2">
        <v>2520</v>
      </c>
      <c r="X73" s="6">
        <v>0.99</v>
      </c>
      <c r="Y73" s="6">
        <f t="shared" si="41"/>
        <v>2494.8000000000002</v>
      </c>
      <c r="Z73" s="4">
        <f>+W73/120</f>
        <v>21</v>
      </c>
      <c r="AE73" s="1"/>
      <c r="AF73" s="1"/>
      <c r="AG73" s="1"/>
    </row>
    <row r="74" spans="9:33" ht="15.75" customHeight="1" x14ac:dyDescent="0.2">
      <c r="V74" s="1"/>
      <c r="W74" s="88">
        <f>SUM(W66:W73)</f>
        <v>14640</v>
      </c>
      <c r="Y74" s="6">
        <f t="shared" ref="Y74:Z74" si="44">SUM(Y66:Y73)</f>
        <v>9849.7199999999993</v>
      </c>
      <c r="Z74" s="4">
        <f t="shared" si="44"/>
        <v>60</v>
      </c>
      <c r="AE74" s="1"/>
      <c r="AF74" s="1"/>
      <c r="AG74" s="1"/>
    </row>
    <row r="75" spans="9:33" ht="15.75" customHeight="1" x14ac:dyDescent="0.2">
      <c r="V75" s="1"/>
      <c r="W75" s="1"/>
      <c r="X75" s="4" t="s">
        <v>137</v>
      </c>
      <c r="Y75" s="6">
        <f>+Y74*0.3</f>
        <v>2954.9159999999997</v>
      </c>
    </row>
    <row r="76" spans="9:33" ht="15.75" customHeight="1" x14ac:dyDescent="0.2">
      <c r="V76" s="1"/>
      <c r="W76" s="1"/>
      <c r="X76" s="4" t="s">
        <v>139</v>
      </c>
      <c r="Y76" s="6">
        <f>+Y74-Y75</f>
        <v>6894.8040000000001</v>
      </c>
    </row>
    <row r="77" spans="9:33" ht="15.75" customHeight="1" x14ac:dyDescent="0.2"/>
    <row r="78" spans="9:33" ht="15.75" customHeight="1" x14ac:dyDescent="0.2"/>
    <row r="79" spans="9:33" ht="15.75" customHeight="1" x14ac:dyDescent="0.2"/>
    <row r="80" spans="9:3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4.5" defaultRowHeight="15" customHeight="1" x14ac:dyDescent="0.2"/>
  <cols>
    <col min="1" max="1" width="13.5" customWidth="1"/>
    <col min="2" max="2" width="12.83203125" customWidth="1"/>
    <col min="3" max="3" width="11.5" customWidth="1"/>
    <col min="4" max="4" width="10.1640625" customWidth="1"/>
    <col min="5" max="5" width="14.5" customWidth="1"/>
    <col min="6" max="6" width="10.6640625" customWidth="1"/>
    <col min="7" max="7" width="11.33203125" customWidth="1"/>
    <col min="8" max="8" width="10.33203125" customWidth="1"/>
    <col min="9" max="9" width="11" customWidth="1"/>
    <col min="10" max="10" width="10.5" customWidth="1"/>
    <col min="11" max="11" width="11.1640625" customWidth="1"/>
    <col min="12" max="12" width="12.6640625" customWidth="1"/>
    <col min="13" max="13" width="10.6640625" customWidth="1"/>
    <col min="14" max="14" width="11.6640625" customWidth="1"/>
    <col min="15" max="15" width="13" customWidth="1"/>
    <col min="16" max="16" width="11.33203125" customWidth="1"/>
    <col min="17" max="17" width="10.6640625" customWidth="1"/>
    <col min="18" max="18" width="10.83203125" customWidth="1"/>
    <col min="19" max="19" width="11.33203125" customWidth="1"/>
    <col min="20" max="20" width="10.6640625" customWidth="1"/>
    <col min="21" max="21" width="12" customWidth="1"/>
    <col min="22" max="22" width="12.6640625" customWidth="1"/>
    <col min="23" max="23" width="11.33203125" customWidth="1"/>
    <col min="24" max="24" width="10.6640625" customWidth="1"/>
    <col min="25" max="25" width="11" customWidth="1"/>
    <col min="26" max="26" width="12.1640625" customWidth="1"/>
    <col min="27" max="27" width="10.5" customWidth="1"/>
    <col min="28" max="28" width="8.6640625" customWidth="1"/>
    <col min="29" max="29" width="11.33203125" customWidth="1"/>
    <col min="30" max="30" width="8.6640625" customWidth="1"/>
    <col min="31" max="31" width="9.83203125" customWidth="1"/>
    <col min="32" max="33" width="8.6640625" customWidth="1"/>
  </cols>
  <sheetData>
    <row r="1" spans="1:30" x14ac:dyDescent="0.2">
      <c r="A1" s="4" t="s">
        <v>148</v>
      </c>
      <c r="B1" s="6"/>
      <c r="D1" s="4" t="s">
        <v>149</v>
      </c>
      <c r="E1" s="3"/>
      <c r="G1" s="3"/>
      <c r="I1" s="3"/>
      <c r="K1" s="3"/>
      <c r="M1" s="3"/>
      <c r="N1" s="4" t="s">
        <v>150</v>
      </c>
      <c r="P1" s="4" t="s">
        <v>151</v>
      </c>
      <c r="S1" s="3"/>
      <c r="T1" s="4" t="s">
        <v>152</v>
      </c>
      <c r="V1" s="4" t="s">
        <v>153</v>
      </c>
      <c r="Z1" s="4" t="s">
        <v>154</v>
      </c>
    </row>
    <row r="2" spans="1:30" x14ac:dyDescent="0.2">
      <c r="A2" s="4" t="s">
        <v>155</v>
      </c>
      <c r="B2" s="6"/>
      <c r="D2" s="4" t="s">
        <v>156</v>
      </c>
      <c r="E2" s="3"/>
      <c r="G2" s="3"/>
      <c r="I2" s="3"/>
      <c r="J2" s="11" t="s">
        <v>157</v>
      </c>
      <c r="K2" s="3"/>
      <c r="M2" s="3"/>
      <c r="N2" s="4" t="s">
        <v>158</v>
      </c>
      <c r="P2" s="4" t="s">
        <v>159</v>
      </c>
      <c r="S2" s="3"/>
      <c r="T2" s="4" t="s">
        <v>96</v>
      </c>
      <c r="X2" s="4" t="s">
        <v>98</v>
      </c>
      <c r="Z2" s="4" t="s">
        <v>96</v>
      </c>
      <c r="AC2" s="4" t="s">
        <v>3</v>
      </c>
    </row>
    <row r="3" spans="1:30" x14ac:dyDescent="0.2">
      <c r="B3" s="12" t="s">
        <v>1</v>
      </c>
      <c r="C3" s="13" t="s">
        <v>2</v>
      </c>
      <c r="D3" s="89">
        <v>44197</v>
      </c>
      <c r="E3" s="90" t="s">
        <v>160</v>
      </c>
      <c r="F3" s="89">
        <v>44228</v>
      </c>
      <c r="G3" s="90" t="s">
        <v>160</v>
      </c>
      <c r="H3" s="89">
        <v>44256</v>
      </c>
      <c r="I3" s="90" t="s">
        <v>160</v>
      </c>
      <c r="J3" s="89">
        <v>44287</v>
      </c>
      <c r="K3" s="90" t="s">
        <v>160</v>
      </c>
      <c r="L3" s="89" t="s">
        <v>161</v>
      </c>
      <c r="M3" s="90" t="s">
        <v>160</v>
      </c>
      <c r="N3" s="89">
        <v>44348</v>
      </c>
      <c r="O3" s="91" t="s">
        <v>160</v>
      </c>
      <c r="P3" s="89">
        <v>44378</v>
      </c>
      <c r="Q3" s="90"/>
      <c r="R3" s="89">
        <v>44409</v>
      </c>
      <c r="S3" s="90"/>
      <c r="T3" s="89">
        <v>44440</v>
      </c>
      <c r="U3" s="90"/>
      <c r="V3" s="89">
        <v>44470</v>
      </c>
      <c r="W3" s="90"/>
      <c r="X3" s="89">
        <v>44501</v>
      </c>
      <c r="Y3" s="90"/>
      <c r="Z3" s="52">
        <v>44531</v>
      </c>
      <c r="AA3" s="53"/>
      <c r="AB3" s="3"/>
      <c r="AC3" s="4" t="s">
        <v>51</v>
      </c>
      <c r="AD3" s="4" t="s">
        <v>52</v>
      </c>
    </row>
    <row r="4" spans="1:30" x14ac:dyDescent="0.2">
      <c r="B4" s="18" t="s">
        <v>162</v>
      </c>
      <c r="C4" s="19"/>
      <c r="D4" s="92"/>
      <c r="E4" s="93"/>
      <c r="F4" s="92"/>
      <c r="G4" s="93"/>
      <c r="H4" s="94"/>
      <c r="I4" s="93"/>
      <c r="J4" s="92"/>
      <c r="K4" s="93"/>
      <c r="L4" s="92"/>
      <c r="M4" s="93"/>
      <c r="N4" s="95"/>
      <c r="O4" s="96"/>
      <c r="P4" s="92"/>
      <c r="Q4" s="93"/>
      <c r="R4" s="92"/>
      <c r="S4" s="93"/>
      <c r="T4" s="92"/>
      <c r="U4" s="93"/>
      <c r="V4" s="92"/>
      <c r="W4" s="93"/>
      <c r="X4" s="92"/>
      <c r="Y4" s="93"/>
      <c r="Z4" s="54"/>
      <c r="AA4" s="55"/>
      <c r="AB4" s="3"/>
      <c r="AC4" s="4" t="s">
        <v>55</v>
      </c>
    </row>
    <row r="5" spans="1:30" x14ac:dyDescent="0.2">
      <c r="A5" s="25" t="s">
        <v>4</v>
      </c>
      <c r="B5" s="12">
        <f>0.901+0.291</f>
        <v>1.1919999999999999</v>
      </c>
      <c r="C5" s="13">
        <v>1700</v>
      </c>
      <c r="D5" s="26">
        <f>16959+393</f>
        <v>17352</v>
      </c>
      <c r="E5" s="27">
        <f>+D5/C5</f>
        <v>10.207058823529412</v>
      </c>
      <c r="F5" s="26">
        <f>+D5+D6</f>
        <v>15548</v>
      </c>
      <c r="G5" s="27">
        <f>+F5/C5</f>
        <v>9.145882352941177</v>
      </c>
      <c r="H5" s="26">
        <f>+F5+F6</f>
        <v>15164</v>
      </c>
      <c r="I5" s="27">
        <f>+H5/C5</f>
        <v>8.92</v>
      </c>
      <c r="J5" s="26">
        <f>+H5+H6</f>
        <v>13272</v>
      </c>
      <c r="K5" s="27">
        <f>+J5/C5</f>
        <v>7.8070588235294114</v>
      </c>
      <c r="L5" s="26">
        <f>+J5+J6</f>
        <v>12516</v>
      </c>
      <c r="M5" s="27">
        <f>+L5/C5</f>
        <v>7.3623529411764705</v>
      </c>
      <c r="N5" s="26">
        <f>+L5+L6</f>
        <v>9148</v>
      </c>
      <c r="O5" s="27">
        <f>+N5/C5</f>
        <v>5.381176470588235</v>
      </c>
      <c r="P5" s="26">
        <f>+N5+N6+5520</f>
        <v>11824</v>
      </c>
      <c r="Q5" s="27">
        <f>+P5/C5</f>
        <v>6.9552941176470586</v>
      </c>
      <c r="R5" s="26">
        <f>+P5+P6</f>
        <v>11304</v>
      </c>
      <c r="S5" s="27">
        <f>+R5/C5</f>
        <v>6.6494117647058824</v>
      </c>
      <c r="T5" s="26">
        <f>+R5+R6</f>
        <v>9720</v>
      </c>
      <c r="U5" s="27">
        <f>+T5/C5</f>
        <v>5.7176470588235295</v>
      </c>
      <c r="V5" s="26">
        <f>+T5+T6+8400</f>
        <v>16736</v>
      </c>
      <c r="W5" s="27">
        <f>+V5/C5</f>
        <v>9.8447058823529403</v>
      </c>
      <c r="X5" s="26">
        <f>+V5+V6</f>
        <v>13940</v>
      </c>
      <c r="Y5" s="27">
        <f>+X5/C5</f>
        <v>8.1999999999999993</v>
      </c>
      <c r="Z5" s="26">
        <f>+X5+X6+4560</f>
        <v>16632</v>
      </c>
      <c r="AA5" s="27">
        <f>+Z5/C5</f>
        <v>9.7835294117647056</v>
      </c>
      <c r="AB5" s="58">
        <f>+Z5+Z6</f>
        <v>16580</v>
      </c>
      <c r="AC5" s="58">
        <f>+AB5/C5</f>
        <v>9.7529411764705891</v>
      </c>
      <c r="AD5" s="13"/>
    </row>
    <row r="6" spans="1:30" x14ac:dyDescent="0.2">
      <c r="A6" s="28" t="s">
        <v>27</v>
      </c>
      <c r="B6" s="18">
        <v>0.90300000000000002</v>
      </c>
      <c r="C6" s="43">
        <f>+(+D6+F6+H6+J6+L6+N6+P6+R6+T6+V6+X6+Z6)/12</f>
        <v>-1604.3333333333333</v>
      </c>
      <c r="D6" s="30">
        <v>-1804</v>
      </c>
      <c r="E6" s="31">
        <f>+B5*D6</f>
        <v>-2150.3679999999999</v>
      </c>
      <c r="F6" s="30">
        <v>-384</v>
      </c>
      <c r="G6" s="31">
        <f>+B5*F6</f>
        <v>-457.72799999999995</v>
      </c>
      <c r="H6" s="30">
        <v>-1892</v>
      </c>
      <c r="I6" s="31">
        <f>+B5*H6</f>
        <v>-2255.2640000000001</v>
      </c>
      <c r="J6" s="30">
        <v>-756</v>
      </c>
      <c r="K6" s="31">
        <f>+B5*J6</f>
        <v>-901.15199999999993</v>
      </c>
      <c r="L6" s="30">
        <v>-3368</v>
      </c>
      <c r="M6" s="31">
        <f>+B5*L6</f>
        <v>-4014.6559999999999</v>
      </c>
      <c r="N6" s="30">
        <v>-2844</v>
      </c>
      <c r="O6" s="31">
        <f>+B5*N6</f>
        <v>-3390.0479999999998</v>
      </c>
      <c r="P6" s="30">
        <v>-520</v>
      </c>
      <c r="Q6" s="31">
        <f>+B5*P6</f>
        <v>-619.83999999999992</v>
      </c>
      <c r="R6" s="30">
        <v>-1584</v>
      </c>
      <c r="S6" s="31">
        <f>+B5*R6</f>
        <v>-1888.1279999999999</v>
      </c>
      <c r="T6" s="30">
        <v>-1384</v>
      </c>
      <c r="U6" s="31">
        <f>+B5*T6</f>
        <v>-1649.7279999999998</v>
      </c>
      <c r="V6" s="30">
        <v>-2796</v>
      </c>
      <c r="W6" s="31">
        <f>+B5*V6</f>
        <v>-3332.8319999999999</v>
      </c>
      <c r="X6" s="30">
        <v>-1868</v>
      </c>
      <c r="Y6" s="31">
        <f>+B5*X6</f>
        <v>-2226.6559999999999</v>
      </c>
      <c r="Z6" s="30">
        <v>-52</v>
      </c>
      <c r="AA6" s="31">
        <f>+B5*Z6</f>
        <v>-61.983999999999995</v>
      </c>
      <c r="AB6" s="60">
        <f t="shared" ref="AB6:AC6" si="0">+D6+F6+H6+J6+L6+N6+P6+R6+T6+V6+X6+Z6</f>
        <v>-19252</v>
      </c>
      <c r="AC6" s="1">
        <f t="shared" si="0"/>
        <v>-22948.383999999998</v>
      </c>
      <c r="AD6" s="19"/>
    </row>
    <row r="7" spans="1:30" x14ac:dyDescent="0.2">
      <c r="A7" s="28" t="s">
        <v>15</v>
      </c>
      <c r="B7" s="18"/>
      <c r="C7" s="43">
        <f>+(+D6+F6+H6+J6+L6+N6+P6+R6+T6+V6+X6+Z6)/12</f>
        <v>-1604.3333333333333</v>
      </c>
      <c r="D7" s="30"/>
      <c r="E7" s="31">
        <v>3732.28</v>
      </c>
      <c r="F7" s="30"/>
      <c r="G7" s="31">
        <v>1155.8399999999999</v>
      </c>
      <c r="H7" s="30"/>
      <c r="I7" s="31">
        <v>3166.64</v>
      </c>
      <c r="J7" s="30"/>
      <c r="K7" s="31">
        <v>1805.04</v>
      </c>
      <c r="L7" s="30"/>
      <c r="M7" s="31">
        <v>6385.68</v>
      </c>
      <c r="N7" s="30"/>
      <c r="O7" s="31">
        <v>5409.49</v>
      </c>
      <c r="P7" s="30"/>
      <c r="Q7" s="31">
        <v>1611.44</v>
      </c>
      <c r="R7" s="30"/>
      <c r="S7" s="31">
        <v>3116.84</v>
      </c>
      <c r="T7" s="30"/>
      <c r="U7" s="31">
        <v>3195.84</v>
      </c>
      <c r="V7" s="30"/>
      <c r="W7" s="31">
        <v>4209.6000000000004</v>
      </c>
      <c r="X7" s="30"/>
      <c r="Y7" s="31">
        <v>3815.68</v>
      </c>
      <c r="Z7" s="30"/>
      <c r="AA7" s="31">
        <v>174.2</v>
      </c>
      <c r="AB7" s="50"/>
      <c r="AC7" s="50">
        <f>+E7+G7+I7+K7+M7+O7+Q7+S7+U7+W7+Y7+AA7</f>
        <v>37778.57</v>
      </c>
      <c r="AD7" s="37">
        <f>+AC7/+AB6</f>
        <v>-1.9623192395595264</v>
      </c>
    </row>
    <row r="8" spans="1:30" x14ac:dyDescent="0.2">
      <c r="A8" s="33" t="s">
        <v>163</v>
      </c>
      <c r="B8" s="34">
        <f>SUM(D7:Q7)/(+D6+F6+H6+J6+L6+N6+P6)</f>
        <v>-2.0112733402489624</v>
      </c>
      <c r="C8" s="64"/>
      <c r="D8" s="36"/>
      <c r="E8" s="37">
        <f>+E7/(+D6*-1)</f>
        <v>2.0688913525498891</v>
      </c>
      <c r="F8" s="36"/>
      <c r="G8" s="37">
        <f>+G7/(+F6*-1)</f>
        <v>3.01</v>
      </c>
      <c r="H8" s="36"/>
      <c r="I8" s="37">
        <f>+I7/(+H6*-1)</f>
        <v>1.6736997885835094</v>
      </c>
      <c r="J8" s="36"/>
      <c r="K8" s="37">
        <f>+K7/(+J6*-1)</f>
        <v>2.3876190476190478</v>
      </c>
      <c r="L8" s="36"/>
      <c r="M8" s="37">
        <f>+M7/(+L6*-1)</f>
        <v>1.8959857482185274</v>
      </c>
      <c r="N8" s="36"/>
      <c r="O8" s="37">
        <f>+O7/(+N6*-1)</f>
        <v>1.9020710267229253</v>
      </c>
      <c r="P8" s="36"/>
      <c r="Q8" s="37">
        <f>+Q7/(+P6*-1)</f>
        <v>3.0989230769230769</v>
      </c>
      <c r="R8" s="36"/>
      <c r="S8" s="37">
        <f>+S7/(+R6*-1)</f>
        <v>1.9677020202020203</v>
      </c>
      <c r="T8" s="36"/>
      <c r="U8" s="37">
        <f>+U7/(+T6*-1)</f>
        <v>2.3091329479768787</v>
      </c>
      <c r="V8" s="36"/>
      <c r="W8" s="37">
        <f>+W7/(+V6*-1)</f>
        <v>1.5055793991416311</v>
      </c>
      <c r="X8" s="36"/>
      <c r="Y8" s="37">
        <f>+Y7/(+X6*-1)</f>
        <v>2.0426552462526764</v>
      </c>
      <c r="Z8" s="36"/>
      <c r="AA8" s="37">
        <f>+AA7/(+Z6*-1)</f>
        <v>3.3499999999999996</v>
      </c>
      <c r="AB8" s="1"/>
      <c r="AC8" s="1"/>
      <c r="AD8" s="31"/>
    </row>
    <row r="9" spans="1:30" x14ac:dyDescent="0.2">
      <c r="A9" s="25" t="s">
        <v>5</v>
      </c>
      <c r="B9" s="12">
        <f>0.655+0.194</f>
        <v>0.84899999999999998</v>
      </c>
      <c r="C9" s="13">
        <v>900</v>
      </c>
      <c r="D9" s="26">
        <f>10352+17-1428</f>
        <v>8941</v>
      </c>
      <c r="E9" s="27">
        <f>+D9/C9</f>
        <v>9.9344444444444449</v>
      </c>
      <c r="F9" s="26">
        <f>+D9+D10</f>
        <v>7139</v>
      </c>
      <c r="G9" s="27">
        <f>+F9/C9</f>
        <v>7.9322222222222223</v>
      </c>
      <c r="H9" s="26">
        <f>+F9+F10</f>
        <v>6947</v>
      </c>
      <c r="I9" s="27">
        <f>+H9/C9</f>
        <v>7.7188888888888885</v>
      </c>
      <c r="J9" s="26">
        <f>+H9+H10</f>
        <v>6751</v>
      </c>
      <c r="K9" s="27">
        <f>+J9/C9</f>
        <v>7.5011111111111113</v>
      </c>
      <c r="L9" s="26">
        <f>+J9+J103</f>
        <v>6751</v>
      </c>
      <c r="M9" s="27">
        <f>+L9/C9</f>
        <v>7.5011111111111113</v>
      </c>
      <c r="N9" s="79">
        <f>+L9+L10</f>
        <v>5567</v>
      </c>
      <c r="O9" s="27">
        <f>+N9/C9</f>
        <v>6.1855555555555553</v>
      </c>
      <c r="P9" s="79">
        <f>+N9+N10+5040</f>
        <v>9995</v>
      </c>
      <c r="Q9" s="27">
        <f>+P9/C9</f>
        <v>11.105555555555556</v>
      </c>
      <c r="R9" s="79">
        <f>+P9+P10</f>
        <v>9735</v>
      </c>
      <c r="S9" s="27">
        <f>+R9/C9</f>
        <v>10.816666666666666</v>
      </c>
      <c r="T9" s="79">
        <f>+R9+R10</f>
        <v>8543</v>
      </c>
      <c r="U9" s="27">
        <f>+T9/C9</f>
        <v>9.4922222222222228</v>
      </c>
      <c r="V9" s="79">
        <f>+T9+T10+1440</f>
        <v>9491</v>
      </c>
      <c r="W9" s="27">
        <f>+V9/C9</f>
        <v>10.545555555555556</v>
      </c>
      <c r="X9" s="79">
        <f>+V9+V10</f>
        <v>9243</v>
      </c>
      <c r="Y9" s="27">
        <f>+X9/C9</f>
        <v>10.27</v>
      </c>
      <c r="Z9" s="79">
        <f>+X9+X10+3600</f>
        <v>11959</v>
      </c>
      <c r="AA9" s="27">
        <f>+Z9/C9</f>
        <v>13.287777777777778</v>
      </c>
      <c r="AB9" s="58">
        <f>+Z9+Z10</f>
        <v>11833</v>
      </c>
      <c r="AC9" s="59">
        <f>+AB9/C9</f>
        <v>13.147777777777778</v>
      </c>
      <c r="AD9" s="13"/>
    </row>
    <row r="10" spans="1:30" x14ac:dyDescent="0.2">
      <c r="A10" s="28" t="s">
        <v>27</v>
      </c>
      <c r="B10" s="18">
        <v>0.65500000000000003</v>
      </c>
      <c r="C10" s="43">
        <f>+(+D10+F10+H10+J10+L10+N10+P10+R10+T10+V10+X10+Z10)/12</f>
        <v>-701.33333333333337</v>
      </c>
      <c r="D10" s="30">
        <v>-1802</v>
      </c>
      <c r="E10" s="31">
        <f>+B9*D10</f>
        <v>-1529.8979999999999</v>
      </c>
      <c r="F10" s="30">
        <v>-192</v>
      </c>
      <c r="G10" s="31">
        <f>+B9*F10</f>
        <v>-163.00799999999998</v>
      </c>
      <c r="H10" s="30">
        <v>-196</v>
      </c>
      <c r="I10" s="31">
        <f>+B9*H10</f>
        <v>-166.404</v>
      </c>
      <c r="J10" s="30">
        <v>-1228</v>
      </c>
      <c r="K10" s="31">
        <f>+B9*J10</f>
        <v>-1042.5719999999999</v>
      </c>
      <c r="L10" s="30">
        <v>-1184</v>
      </c>
      <c r="M10" s="31">
        <f>+B9*L10</f>
        <v>-1005.216</v>
      </c>
      <c r="N10" s="30">
        <v>-612</v>
      </c>
      <c r="O10" s="31">
        <f>+B9*N10</f>
        <v>-519.58799999999997</v>
      </c>
      <c r="P10" s="30">
        <v>-260</v>
      </c>
      <c r="Q10" s="31">
        <f>+B9*P10</f>
        <v>-220.73999999999998</v>
      </c>
      <c r="R10" s="30">
        <v>-1192</v>
      </c>
      <c r="S10" s="31">
        <f>+B9*R10</f>
        <v>-1012.0079999999999</v>
      </c>
      <c r="T10" s="30">
        <v>-492</v>
      </c>
      <c r="U10" s="31">
        <f>+B9*T10</f>
        <v>-417.70799999999997</v>
      </c>
      <c r="V10" s="30">
        <v>-248</v>
      </c>
      <c r="W10" s="31">
        <f>+B9*V10</f>
        <v>-210.55199999999999</v>
      </c>
      <c r="X10" s="30">
        <v>-884</v>
      </c>
      <c r="Y10" s="31">
        <f>+B9*X10</f>
        <v>-750.51599999999996</v>
      </c>
      <c r="Z10" s="30">
        <v>-126</v>
      </c>
      <c r="AA10" s="31">
        <f>+B9*Z10</f>
        <v>-106.974</v>
      </c>
      <c r="AB10" s="60">
        <f t="shared" ref="AB10:AC10" si="1">+D10+F10+H10+J10+L10+N10+P10+R10+T10+V10+X10+Z10</f>
        <v>-8416</v>
      </c>
      <c r="AC10" s="1">
        <f t="shared" si="1"/>
        <v>-7145.1839999999984</v>
      </c>
      <c r="AD10" s="19"/>
    </row>
    <row r="11" spans="1:30" x14ac:dyDescent="0.2">
      <c r="A11" s="28" t="s">
        <v>15</v>
      </c>
      <c r="B11" s="18"/>
      <c r="C11" s="43">
        <f>+(+D10+F10+H10+J10+L10+N10+P10+R10)/8</f>
        <v>-833.25</v>
      </c>
      <c r="D11" s="30"/>
      <c r="E11" s="31">
        <v>2858.02</v>
      </c>
      <c r="F11" s="30"/>
      <c r="G11" s="31">
        <v>468.48</v>
      </c>
      <c r="H11" s="30"/>
      <c r="I11" s="31">
        <v>481.36</v>
      </c>
      <c r="J11" s="30"/>
      <c r="K11" s="31">
        <v>1967.4</v>
      </c>
      <c r="L11" s="30"/>
      <c r="M11" s="31">
        <v>2058.96</v>
      </c>
      <c r="N11" s="30"/>
      <c r="O11" s="31">
        <v>1247.1199999999999</v>
      </c>
      <c r="P11" s="30"/>
      <c r="Q11" s="31">
        <v>687.44</v>
      </c>
      <c r="R11" s="30"/>
      <c r="S11" s="31">
        <v>1851.45</v>
      </c>
      <c r="T11" s="30"/>
      <c r="U11" s="31">
        <v>1090.48</v>
      </c>
      <c r="V11" s="30"/>
      <c r="W11" s="31">
        <v>394.56</v>
      </c>
      <c r="X11" s="30"/>
      <c r="Y11" s="31">
        <v>1536.86</v>
      </c>
      <c r="Z11" s="30"/>
      <c r="AA11" s="31">
        <v>269.72000000000003</v>
      </c>
      <c r="AB11" s="50"/>
      <c r="AC11" s="50">
        <f>+E11+G11+I11+K11+M11+O11+Q11+S11+U11+W11+Y11+AA11</f>
        <v>14911.85</v>
      </c>
      <c r="AD11" s="37">
        <f>+AC11/+AB10</f>
        <v>-1.7718452946768062</v>
      </c>
    </row>
    <row r="12" spans="1:30" x14ac:dyDescent="0.2">
      <c r="A12" s="33" t="s">
        <v>163</v>
      </c>
      <c r="B12" s="34">
        <f>SUM(D11:Q11)/(+D10+F10+H10+J10+L10+N10+P10)</f>
        <v>-1.7845780051150897</v>
      </c>
      <c r="C12" s="64"/>
      <c r="D12" s="36"/>
      <c r="E12" s="37">
        <f>+E11/(+D10*-1)</f>
        <v>1.5860266370699223</v>
      </c>
      <c r="F12" s="36"/>
      <c r="G12" s="37">
        <f>+G11/(+F10*-1)</f>
        <v>2.44</v>
      </c>
      <c r="H12" s="36"/>
      <c r="I12" s="37">
        <f>+I11/(+H10*-1)</f>
        <v>2.4559183673469387</v>
      </c>
      <c r="J12" s="36"/>
      <c r="K12" s="37">
        <f>+K11/(+J10*-1)</f>
        <v>1.6021172638436483</v>
      </c>
      <c r="L12" s="36"/>
      <c r="M12" s="37">
        <f>+M11/(+L10*-1)</f>
        <v>1.7389864864864866</v>
      </c>
      <c r="N12" s="36"/>
      <c r="O12" s="37">
        <f>+O11/(+N10*-1)</f>
        <v>2.0377777777777775</v>
      </c>
      <c r="P12" s="36"/>
      <c r="Q12" s="37">
        <f>+Q11/(+P10*-1)</f>
        <v>2.6440000000000001</v>
      </c>
      <c r="R12" s="36"/>
      <c r="S12" s="37">
        <f>+S11/(+R10*-1)</f>
        <v>1.5532298657718122</v>
      </c>
      <c r="T12" s="36"/>
      <c r="U12" s="37">
        <f>+U11/(+T10*-1)</f>
        <v>2.2164227642276422</v>
      </c>
      <c r="V12" s="36"/>
      <c r="W12" s="37">
        <f>+W11/(+V10*-1)</f>
        <v>1.590967741935484</v>
      </c>
      <c r="X12" s="36"/>
      <c r="Y12" s="37">
        <f>+Y11/(+X10*-1)</f>
        <v>1.7385294117647059</v>
      </c>
      <c r="Z12" s="36"/>
      <c r="AA12" s="37">
        <f>+AA11/(+Z10*-1)</f>
        <v>2.1406349206349207</v>
      </c>
      <c r="AB12" s="1"/>
      <c r="AC12" s="1"/>
      <c r="AD12" s="31"/>
    </row>
    <row r="13" spans="1:30" x14ac:dyDescent="0.2">
      <c r="A13" s="28" t="s">
        <v>6</v>
      </c>
      <c r="B13" s="18">
        <f>0.528+0.145</f>
        <v>0.67300000000000004</v>
      </c>
      <c r="C13" s="19">
        <v>275</v>
      </c>
      <c r="D13" s="30">
        <f>4156+8</f>
        <v>4164</v>
      </c>
      <c r="E13" s="32">
        <f>+D13/C13</f>
        <v>15.141818181818183</v>
      </c>
      <c r="F13" s="30">
        <f>+D13+D14</f>
        <v>3813</v>
      </c>
      <c r="G13" s="32">
        <f>+F13/C13</f>
        <v>13.865454545454545</v>
      </c>
      <c r="H13" s="30">
        <f>+F13+F14</f>
        <v>3589</v>
      </c>
      <c r="I13" s="32">
        <f>+H13/C13</f>
        <v>13.050909090909091</v>
      </c>
      <c r="J13" s="30">
        <f>+H13+H14</f>
        <v>2968</v>
      </c>
      <c r="K13" s="32">
        <f>+J13/C13</f>
        <v>10.792727272727273</v>
      </c>
      <c r="L13" s="30">
        <f>+J13+J14</f>
        <v>2838</v>
      </c>
      <c r="M13" s="32">
        <f>+L13/C13</f>
        <v>10.32</v>
      </c>
      <c r="N13" s="30">
        <f>+L13+L14</f>
        <v>2690</v>
      </c>
      <c r="O13" s="32">
        <f>+N13/C13</f>
        <v>9.7818181818181813</v>
      </c>
      <c r="P13" s="30">
        <f>+N13+N14+720</f>
        <v>3337</v>
      </c>
      <c r="Q13" s="32">
        <f>+P13/C13</f>
        <v>12.134545454545455</v>
      </c>
      <c r="R13" s="30">
        <f>+P13+P14</f>
        <v>3301</v>
      </c>
      <c r="S13" s="32">
        <f>+R13/C13</f>
        <v>12.003636363636364</v>
      </c>
      <c r="T13" s="30">
        <f>+R13+R14</f>
        <v>3277</v>
      </c>
      <c r="U13" s="32">
        <f>+T13/C13</f>
        <v>11.916363636363636</v>
      </c>
      <c r="V13" s="30">
        <f>+T13+T14+720</f>
        <v>3273</v>
      </c>
      <c r="W13" s="32">
        <f>+V13/C13</f>
        <v>11.901818181818182</v>
      </c>
      <c r="X13" s="30">
        <f>+V13+V14</f>
        <v>3165</v>
      </c>
      <c r="Y13" s="32">
        <f>+X13/C13</f>
        <v>11.50909090909091</v>
      </c>
      <c r="Z13" s="30">
        <f>+X13+X14</f>
        <v>3017</v>
      </c>
      <c r="AA13" s="32">
        <f>+Z13/C13</f>
        <v>10.970909090909091</v>
      </c>
      <c r="AB13" s="62">
        <f>+Z13+Z14</f>
        <v>3012</v>
      </c>
      <c r="AC13" s="59">
        <f>+AB13/C13</f>
        <v>10.952727272727273</v>
      </c>
      <c r="AD13" s="13"/>
    </row>
    <row r="14" spans="1:30" x14ac:dyDescent="0.2">
      <c r="A14" s="28" t="s">
        <v>27</v>
      </c>
      <c r="B14" s="18">
        <v>0.52800000000000002</v>
      </c>
      <c r="C14" s="43">
        <f>+(+D14+F14+H14+J14+L14+N14+P14+R14+T14+V14+X14+Z14)/12</f>
        <v>-216</v>
      </c>
      <c r="D14" s="30">
        <v>-351</v>
      </c>
      <c r="E14" s="31">
        <f>+B13*D14</f>
        <v>-236.22300000000001</v>
      </c>
      <c r="F14" s="30">
        <v>-224</v>
      </c>
      <c r="G14" s="32">
        <f>+B13*F14</f>
        <v>-150.75200000000001</v>
      </c>
      <c r="H14" s="30">
        <v>-621</v>
      </c>
      <c r="I14" s="31">
        <f>+B13*H14</f>
        <v>-417.93300000000005</v>
      </c>
      <c r="J14" s="30">
        <v>-130</v>
      </c>
      <c r="K14" s="31">
        <f>+B13*J14</f>
        <v>-87.490000000000009</v>
      </c>
      <c r="L14" s="30">
        <v>-148</v>
      </c>
      <c r="M14" s="31">
        <f>+B13*L14</f>
        <v>-99.604000000000013</v>
      </c>
      <c r="N14" s="30">
        <v>-73</v>
      </c>
      <c r="O14" s="31">
        <f>+B13*N14</f>
        <v>-49.129000000000005</v>
      </c>
      <c r="P14" s="30">
        <v>-36</v>
      </c>
      <c r="Q14" s="31">
        <f>+B13*P14</f>
        <v>-24.228000000000002</v>
      </c>
      <c r="R14" s="30">
        <v>-24</v>
      </c>
      <c r="S14" s="31">
        <f>+B13*R14</f>
        <v>-16.152000000000001</v>
      </c>
      <c r="T14" s="30">
        <v>-724</v>
      </c>
      <c r="U14" s="31">
        <f>+B13*T14</f>
        <v>-487.25200000000001</v>
      </c>
      <c r="V14" s="30">
        <v>-108</v>
      </c>
      <c r="W14" s="31">
        <f>+B13*V14</f>
        <v>-72.683999999999997</v>
      </c>
      <c r="X14" s="30">
        <v>-148</v>
      </c>
      <c r="Y14" s="31">
        <f>+B13*X14</f>
        <v>-99.604000000000013</v>
      </c>
      <c r="Z14" s="30">
        <v>-5</v>
      </c>
      <c r="AA14" s="31">
        <f>+B13*Z14</f>
        <v>-3.3650000000000002</v>
      </c>
      <c r="AB14" s="63">
        <f t="shared" ref="AB14:AC14" si="2">+D14+F14+H14+J14+L14+N14+P14+R14+T14+V14+X14+Z14</f>
        <v>-2592</v>
      </c>
      <c r="AC14" s="1">
        <f t="shared" si="2"/>
        <v>-1744.4160000000002</v>
      </c>
      <c r="AD14" s="19"/>
    </row>
    <row r="15" spans="1:30" x14ac:dyDescent="0.2">
      <c r="A15" s="28" t="s">
        <v>15</v>
      </c>
      <c r="B15" s="18"/>
      <c r="C15" s="43">
        <f>+(+D14+F14+H14+J14+L14+N14+P14+R14+T14+V14+X14+Z14)/12</f>
        <v>-216</v>
      </c>
      <c r="D15" s="30"/>
      <c r="E15" s="31">
        <v>389.08</v>
      </c>
      <c r="F15" s="30"/>
      <c r="G15" s="32">
        <v>234.8</v>
      </c>
      <c r="H15" s="30"/>
      <c r="I15" s="31">
        <v>801.16</v>
      </c>
      <c r="J15" s="30"/>
      <c r="K15" s="31">
        <v>153.76</v>
      </c>
      <c r="L15" s="30"/>
      <c r="M15" s="31">
        <v>255.6</v>
      </c>
      <c r="N15" s="30"/>
      <c r="O15" s="31">
        <v>114.4</v>
      </c>
      <c r="P15" s="30"/>
      <c r="Q15" s="31">
        <v>72.72</v>
      </c>
      <c r="R15" s="30"/>
      <c r="S15" s="31">
        <v>34.799999999999997</v>
      </c>
      <c r="T15" s="30"/>
      <c r="U15" s="31">
        <v>1033.3</v>
      </c>
      <c r="V15" s="30"/>
      <c r="W15" s="31">
        <v>125.28</v>
      </c>
      <c r="X15" s="30"/>
      <c r="Y15" s="31">
        <v>179.6</v>
      </c>
      <c r="Z15" s="30"/>
      <c r="AA15" s="31">
        <v>15.8</v>
      </c>
      <c r="AB15" s="49"/>
      <c r="AC15" s="50">
        <f>+E15+G15+I15+K15+M15+O15+Q15+S15+U15+W15+Y15+AA15</f>
        <v>3410.3</v>
      </c>
      <c r="AD15" s="37">
        <f>+AC15/+AB14</f>
        <v>-1.3157021604938273</v>
      </c>
    </row>
    <row r="16" spans="1:30" x14ac:dyDescent="0.2">
      <c r="A16" s="4" t="s">
        <v>163</v>
      </c>
      <c r="B16" s="34">
        <f>SUM(D15:Q15)/(+D14+F14+H14+J14+L14+N14+P14)</f>
        <v>-1.2770183196462412</v>
      </c>
      <c r="C16" s="64"/>
      <c r="D16" s="36"/>
      <c r="E16" s="37">
        <f>+E15/(+D14*-1)</f>
        <v>1.1084900284900285</v>
      </c>
      <c r="F16" s="36"/>
      <c r="G16" s="38">
        <f>+G15/(+F14*-1)</f>
        <v>1.0482142857142858</v>
      </c>
      <c r="H16" s="36"/>
      <c r="I16" s="37">
        <f>+I15/(+H14*-1)</f>
        <v>1.2901127214170691</v>
      </c>
      <c r="J16" s="36"/>
      <c r="K16" s="37">
        <f>+K15/(+J14*-1)</f>
        <v>1.1827692307692308</v>
      </c>
      <c r="L16" s="36"/>
      <c r="M16" s="37">
        <f>+M15/(+L14*-1)</f>
        <v>1.7270270270270269</v>
      </c>
      <c r="N16" s="36"/>
      <c r="O16" s="37">
        <f>+O15/(+N14*-1)</f>
        <v>1.5671232876712329</v>
      </c>
      <c r="P16" s="36"/>
      <c r="Q16" s="37">
        <f>+Q15/(+P14*-1)</f>
        <v>2.02</v>
      </c>
      <c r="R16" s="36"/>
      <c r="S16" s="37">
        <f>+S15/(+R14*-1)</f>
        <v>1.45</v>
      </c>
      <c r="T16" s="36"/>
      <c r="U16" s="37">
        <f>+U15/(+T14*-1)</f>
        <v>1.4272099447513811</v>
      </c>
      <c r="V16" s="36"/>
      <c r="W16" s="37">
        <f>+W15/(+V14*-1)</f>
        <v>1.1599999999999999</v>
      </c>
      <c r="X16" s="36"/>
      <c r="Y16" s="37">
        <f>+Y15/(+X14*-1)</f>
        <v>1.2135135135135136</v>
      </c>
      <c r="Z16" s="36"/>
      <c r="AA16" s="37">
        <f>+AA15/(+Z14*-1)</f>
        <v>3.16</v>
      </c>
      <c r="AB16" s="1"/>
      <c r="AC16" s="1"/>
      <c r="AD16" s="1"/>
    </row>
    <row r="17" spans="1:30" x14ac:dyDescent="0.2">
      <c r="A17" s="59"/>
      <c r="B17" s="12"/>
      <c r="C17" s="13"/>
      <c r="D17" s="26"/>
      <c r="E17" s="27"/>
      <c r="F17" s="26"/>
      <c r="G17" s="27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26"/>
      <c r="W17" s="27"/>
      <c r="X17" s="26"/>
      <c r="Y17" s="27"/>
      <c r="Z17" s="26"/>
      <c r="AA17" s="27"/>
      <c r="AB17" s="3"/>
    </row>
    <row r="18" spans="1:30" x14ac:dyDescent="0.2">
      <c r="A18" s="40" t="s">
        <v>7</v>
      </c>
      <c r="B18" s="12">
        <f>0.81+0.291</f>
        <v>1.101</v>
      </c>
      <c r="C18" s="13">
        <v>500</v>
      </c>
      <c r="D18" s="26">
        <f>5050+21</f>
        <v>5071</v>
      </c>
      <c r="E18" s="27">
        <f>+D18/C18</f>
        <v>10.141999999999999</v>
      </c>
      <c r="F18" s="26">
        <f>+D18+D19</f>
        <v>4471</v>
      </c>
      <c r="G18" s="27">
        <f>+F18/C18</f>
        <v>8.9420000000000002</v>
      </c>
      <c r="H18" s="41">
        <f>+F18+F19</f>
        <v>3871</v>
      </c>
      <c r="I18" s="27">
        <f>+H18/C18</f>
        <v>7.742</v>
      </c>
      <c r="J18" s="41">
        <f>+H18+H19</f>
        <v>3871</v>
      </c>
      <c r="K18" s="27">
        <f>+J18/C18</f>
        <v>7.742</v>
      </c>
      <c r="L18" s="41">
        <f>+J18+J19</f>
        <v>3271</v>
      </c>
      <c r="M18" s="27">
        <f>+L18/C18</f>
        <v>6.5419999999999998</v>
      </c>
      <c r="N18" s="41">
        <f>+L18+L19</f>
        <v>2671</v>
      </c>
      <c r="O18" s="27">
        <f>+N18/C18</f>
        <v>5.3419999999999996</v>
      </c>
      <c r="P18" s="41">
        <f>+N18+N19+2160</f>
        <v>3631</v>
      </c>
      <c r="Q18" s="27">
        <f>+P18/C18</f>
        <v>7.2619999999999996</v>
      </c>
      <c r="R18" s="41">
        <f>+P18+P19</f>
        <v>3631</v>
      </c>
      <c r="S18" s="27">
        <f>+R18/C18</f>
        <v>7.2619999999999996</v>
      </c>
      <c r="T18" s="41">
        <f>+R18+R19</f>
        <v>3031</v>
      </c>
      <c r="U18" s="27">
        <f>+T18/C18</f>
        <v>6.0620000000000003</v>
      </c>
      <c r="V18" s="41">
        <f>+T18+T19+1440</f>
        <v>4471</v>
      </c>
      <c r="W18" s="27">
        <f>+V18/C18</f>
        <v>8.9420000000000002</v>
      </c>
      <c r="X18" s="41">
        <f>+V18+V19</f>
        <v>3671</v>
      </c>
      <c r="Y18" s="27">
        <f>+X18/C18</f>
        <v>7.3419999999999996</v>
      </c>
      <c r="Z18" s="41">
        <f>+X18+X19+1680</f>
        <v>4551</v>
      </c>
      <c r="AA18" s="27">
        <f>+Z18/C18</f>
        <v>9.1020000000000003</v>
      </c>
      <c r="AB18" s="58">
        <f>+Z18+Z19</f>
        <v>4551</v>
      </c>
      <c r="AC18" s="59">
        <f>+AB18/C18</f>
        <v>9.1020000000000003</v>
      </c>
      <c r="AD18" s="13"/>
    </row>
    <row r="19" spans="1:30" x14ac:dyDescent="0.2">
      <c r="A19" s="42" t="s">
        <v>27</v>
      </c>
      <c r="B19" s="18">
        <v>0.81</v>
      </c>
      <c r="C19" s="43">
        <f>+(+D19+F19+H19+J19+L19+N19+P19+R19+T19+V19+X19+Z19)/12</f>
        <v>-483.33333333333331</v>
      </c>
      <c r="D19" s="30">
        <v>-600</v>
      </c>
      <c r="E19" s="31">
        <f>+B18*D19</f>
        <v>-660.6</v>
      </c>
      <c r="F19" s="30">
        <v>-600</v>
      </c>
      <c r="G19" s="31">
        <f>+B18*F19</f>
        <v>-660.6</v>
      </c>
      <c r="H19" s="30">
        <v>0</v>
      </c>
      <c r="I19" s="31">
        <f>+B18*H19</f>
        <v>0</v>
      </c>
      <c r="J19" s="30">
        <v>-600</v>
      </c>
      <c r="K19" s="31">
        <f>+B18*J19</f>
        <v>-660.6</v>
      </c>
      <c r="L19" s="30">
        <v>-600</v>
      </c>
      <c r="M19" s="31">
        <f>+B18*L19</f>
        <v>-660.6</v>
      </c>
      <c r="N19" s="30">
        <v>-1200</v>
      </c>
      <c r="O19" s="31">
        <f>+B18*N19</f>
        <v>-1321.2</v>
      </c>
      <c r="P19" s="30">
        <v>0</v>
      </c>
      <c r="Q19" s="31">
        <f>+B18*P19</f>
        <v>0</v>
      </c>
      <c r="R19" s="30">
        <v>-600</v>
      </c>
      <c r="S19" s="31">
        <f>+B18*R19</f>
        <v>-660.6</v>
      </c>
      <c r="T19" s="30">
        <v>0</v>
      </c>
      <c r="U19" s="31">
        <f>+B18*T19</f>
        <v>0</v>
      </c>
      <c r="V19" s="30">
        <v>-800</v>
      </c>
      <c r="W19" s="31">
        <f>+B18*V19</f>
        <v>-880.8</v>
      </c>
      <c r="X19" s="30">
        <v>-800</v>
      </c>
      <c r="Y19" s="31">
        <f>+B18*X19</f>
        <v>-880.8</v>
      </c>
      <c r="Z19" s="30">
        <v>0</v>
      </c>
      <c r="AA19" s="31">
        <f>+B18*Z19</f>
        <v>0</v>
      </c>
      <c r="AB19" s="60">
        <f t="shared" ref="AB19:AC19" si="3">+D19+F19+H19+J19+L19+N19+P19+R19+T19+V19+X19+Z19</f>
        <v>-5800</v>
      </c>
      <c r="AC19" s="1">
        <f t="shared" si="3"/>
        <v>-6385.8000000000011</v>
      </c>
      <c r="AD19" s="19"/>
    </row>
    <row r="20" spans="1:30" x14ac:dyDescent="0.2">
      <c r="A20" s="66" t="s">
        <v>15</v>
      </c>
      <c r="B20" s="18"/>
      <c r="C20" s="43">
        <f>+(+D19+F19+H19+J19+L19+N19+P19+R19+T19+V19+X19+Z19)/12</f>
        <v>-483.33333333333331</v>
      </c>
      <c r="D20" s="30" t="s">
        <v>164</v>
      </c>
      <c r="E20" s="31">
        <v>780</v>
      </c>
      <c r="F20" s="30"/>
      <c r="G20" s="31">
        <v>780</v>
      </c>
      <c r="H20" s="30"/>
      <c r="I20" s="31">
        <v>0</v>
      </c>
      <c r="J20" s="30"/>
      <c r="K20" s="31">
        <v>780</v>
      </c>
      <c r="L20" s="30"/>
      <c r="M20" s="31">
        <v>780</v>
      </c>
      <c r="N20" s="30"/>
      <c r="O20" s="31">
        <v>1560</v>
      </c>
      <c r="P20" s="30"/>
      <c r="Q20" s="31">
        <v>0</v>
      </c>
      <c r="R20" s="30"/>
      <c r="S20" s="31">
        <v>780</v>
      </c>
      <c r="T20" s="30"/>
      <c r="U20" s="31">
        <v>0</v>
      </c>
      <c r="V20" s="30"/>
      <c r="W20" s="31">
        <v>1040</v>
      </c>
      <c r="X20" s="30"/>
      <c r="Y20" s="31">
        <v>1040</v>
      </c>
      <c r="Z20" s="30"/>
      <c r="AA20" s="31">
        <v>0</v>
      </c>
      <c r="AB20" s="50"/>
      <c r="AC20" s="50">
        <v>0</v>
      </c>
      <c r="AD20" s="37">
        <v>0</v>
      </c>
    </row>
    <row r="21" spans="1:30" ht="15.75" customHeight="1" x14ac:dyDescent="0.2">
      <c r="A21" s="33"/>
      <c r="B21" s="34">
        <f>SUM(D20:Q20)/(+D19+F19+H19+J19+L19+N19+P19)</f>
        <v>-1.3</v>
      </c>
      <c r="C21" s="64"/>
      <c r="D21" s="36"/>
      <c r="E21" s="37">
        <f>+E20/(+D19*-1)</f>
        <v>1.3</v>
      </c>
      <c r="F21" s="36"/>
      <c r="G21" s="37">
        <f>+G20/(+F19*-1)</f>
        <v>1.3</v>
      </c>
      <c r="H21" s="36"/>
      <c r="I21" s="37" t="e">
        <f>+I20/(+H19*-1)</f>
        <v>#DIV/0!</v>
      </c>
      <c r="J21" s="36"/>
      <c r="K21" s="37">
        <f>+K20/(+J19*-1)</f>
        <v>1.3</v>
      </c>
      <c r="L21" s="36"/>
      <c r="M21" s="37">
        <f>+M20/(+L19*-1)</f>
        <v>1.3</v>
      </c>
      <c r="N21" s="36"/>
      <c r="O21" s="37">
        <f>+O20/(+N19*-1)</f>
        <v>1.3</v>
      </c>
      <c r="P21" s="36"/>
      <c r="Q21" s="37" t="e">
        <f>+Q20/(+P19*-1)</f>
        <v>#DIV/0!</v>
      </c>
      <c r="R21" s="36"/>
      <c r="S21" s="37">
        <f>+S20/(+R19*-1)</f>
        <v>1.3</v>
      </c>
      <c r="T21" s="36"/>
      <c r="U21" s="37" t="e">
        <f>+U20/(+T19*-1)</f>
        <v>#DIV/0!</v>
      </c>
      <c r="V21" s="36"/>
      <c r="W21" s="37">
        <f>+W20/(+V19*-1)</f>
        <v>1.3</v>
      </c>
      <c r="X21" s="36"/>
      <c r="Y21" s="37">
        <f>+Y20/(+X19*-1)</f>
        <v>1.3</v>
      </c>
      <c r="Z21" s="36"/>
      <c r="AA21" s="37" t="e">
        <f>+AA20/(+Z19*-1)</f>
        <v>#DIV/0!</v>
      </c>
      <c r="AB21" s="1"/>
      <c r="AC21" s="1"/>
      <c r="AD21" s="31"/>
    </row>
    <row r="22" spans="1:30" ht="15.75" customHeight="1" x14ac:dyDescent="0.2">
      <c r="A22" s="40" t="s">
        <v>8</v>
      </c>
      <c r="B22" s="12">
        <f>0.555+0.194</f>
        <v>0.74900000000000011</v>
      </c>
      <c r="C22" s="13">
        <v>200</v>
      </c>
      <c r="D22" s="26">
        <f>1768+12</f>
        <v>1780</v>
      </c>
      <c r="E22" s="27">
        <f>+D22/C22</f>
        <v>8.9</v>
      </c>
      <c r="F22" s="26">
        <f>+D22+D23</f>
        <v>1480</v>
      </c>
      <c r="G22" s="27">
        <f>+F22/C22</f>
        <v>7.4</v>
      </c>
      <c r="H22" s="26">
        <f>+F22+F23</f>
        <v>1480</v>
      </c>
      <c r="I22" s="27">
        <f>+H22/C22</f>
        <v>7.4</v>
      </c>
      <c r="J22" s="26">
        <f>+H22+H23</f>
        <v>1480</v>
      </c>
      <c r="K22" s="27">
        <f>+J22/C22</f>
        <v>7.4</v>
      </c>
      <c r="L22" s="26">
        <f>+J22+J23</f>
        <v>1180</v>
      </c>
      <c r="M22" s="27">
        <f>+L22/C22</f>
        <v>5.9</v>
      </c>
      <c r="N22" s="26">
        <f>+L22+L23</f>
        <v>880</v>
      </c>
      <c r="O22" s="27">
        <f>+N22/C22</f>
        <v>4.4000000000000004</v>
      </c>
      <c r="P22" s="26">
        <f>+N22+N23+1080</f>
        <v>1560</v>
      </c>
      <c r="Q22" s="27">
        <f>+P22/C22</f>
        <v>7.8</v>
      </c>
      <c r="R22" s="26">
        <f>+P22+P23</f>
        <v>1560</v>
      </c>
      <c r="S22" s="27">
        <f>+R22/C22</f>
        <v>7.8</v>
      </c>
      <c r="T22" s="26">
        <f>+R22+R23</f>
        <v>1360</v>
      </c>
      <c r="U22" s="27">
        <f>+T22/C22</f>
        <v>6.8</v>
      </c>
      <c r="V22" s="26">
        <f>+T22+T23+720</f>
        <v>2080</v>
      </c>
      <c r="W22" s="27">
        <f>+V22/C22</f>
        <v>10.4</v>
      </c>
      <c r="X22" s="26">
        <f>+V22+V23</f>
        <v>1680</v>
      </c>
      <c r="Y22" s="27">
        <f>+X22/C22</f>
        <v>8.4</v>
      </c>
      <c r="Z22" s="26">
        <f>+X22+X23+360</f>
        <v>1640</v>
      </c>
      <c r="AA22" s="65">
        <f>+Z22/C22</f>
        <v>8.1999999999999993</v>
      </c>
      <c r="AB22" s="26">
        <f>+Z22+Z23</f>
        <v>1640</v>
      </c>
      <c r="AC22" s="59">
        <f>+AB22/C22</f>
        <v>8.1999999999999993</v>
      </c>
      <c r="AD22" s="13"/>
    </row>
    <row r="23" spans="1:30" ht="15.75" customHeight="1" x14ac:dyDescent="0.2">
      <c r="A23" s="42" t="s">
        <v>27</v>
      </c>
      <c r="B23" s="18">
        <v>0.55500000000000005</v>
      </c>
      <c r="C23" s="43">
        <f>+(+D23+F23+H23+J23+L23+N23+P23+R23+T23+V23+X23+Z23)/12</f>
        <v>-191.66666666666666</v>
      </c>
      <c r="D23" s="30">
        <v>-300</v>
      </c>
      <c r="E23" s="31">
        <f>+B22*D23</f>
        <v>-224.70000000000005</v>
      </c>
      <c r="F23" s="30">
        <v>0</v>
      </c>
      <c r="G23" s="31">
        <f>+B22*F23</f>
        <v>0</v>
      </c>
      <c r="H23" s="30">
        <v>0</v>
      </c>
      <c r="I23" s="31">
        <f>+B22*H23</f>
        <v>0</v>
      </c>
      <c r="J23" s="30">
        <v>-300</v>
      </c>
      <c r="K23" s="31">
        <f>+B22*J23</f>
        <v>-224.70000000000005</v>
      </c>
      <c r="L23" s="30">
        <v>-300</v>
      </c>
      <c r="M23" s="31">
        <f>+B22*L23</f>
        <v>-224.70000000000005</v>
      </c>
      <c r="N23" s="30">
        <v>-400</v>
      </c>
      <c r="O23" s="31">
        <f>+B22*N23</f>
        <v>-299.60000000000002</v>
      </c>
      <c r="P23" s="30">
        <v>0</v>
      </c>
      <c r="Q23" s="31">
        <f>+B22*P23</f>
        <v>0</v>
      </c>
      <c r="R23" s="30">
        <v>-200</v>
      </c>
      <c r="S23" s="31">
        <f>+B22*R23</f>
        <v>-149.80000000000001</v>
      </c>
      <c r="T23" s="30">
        <v>0</v>
      </c>
      <c r="U23" s="31">
        <f>+B22*T23</f>
        <v>0</v>
      </c>
      <c r="V23" s="30">
        <v>-400</v>
      </c>
      <c r="W23" s="31">
        <f>+B22*V23</f>
        <v>-299.60000000000002</v>
      </c>
      <c r="X23" s="30">
        <v>-400</v>
      </c>
      <c r="Y23" s="31">
        <f>+B22*X23</f>
        <v>-299.60000000000002</v>
      </c>
      <c r="Z23" s="30">
        <v>0</v>
      </c>
      <c r="AA23" s="31">
        <f>+B22*Z23</f>
        <v>0</v>
      </c>
      <c r="AB23" s="60">
        <f t="shared" ref="AB23:AC23" si="4">+D23+F23+H23+J23+L23+N23+P23+R23+T23+V23+X23+Z23</f>
        <v>-2300</v>
      </c>
      <c r="AC23" s="1">
        <f t="shared" si="4"/>
        <v>-1722.7000000000003</v>
      </c>
      <c r="AD23" s="19"/>
    </row>
    <row r="24" spans="1:30" ht="15.75" customHeight="1" x14ac:dyDescent="0.2">
      <c r="A24" s="66" t="s">
        <v>15</v>
      </c>
      <c r="B24" s="18"/>
      <c r="C24" s="43">
        <f>+(+D23+F23+H23+J23+L23+N23+P23+R23+T23+V23+X23+Z23)/12</f>
        <v>-191.66666666666666</v>
      </c>
      <c r="D24" s="30"/>
      <c r="E24" s="31">
        <v>300</v>
      </c>
      <c r="F24" s="30"/>
      <c r="G24" s="31">
        <v>0</v>
      </c>
      <c r="H24" s="30"/>
      <c r="I24" s="31">
        <v>0</v>
      </c>
      <c r="J24" s="30"/>
      <c r="K24" s="31">
        <v>300</v>
      </c>
      <c r="L24" s="30"/>
      <c r="M24" s="31">
        <v>300</v>
      </c>
      <c r="N24" s="30"/>
      <c r="O24" s="31">
        <v>400</v>
      </c>
      <c r="P24" s="30"/>
      <c r="Q24" s="31">
        <v>0</v>
      </c>
      <c r="R24" s="30"/>
      <c r="S24" s="31">
        <v>200</v>
      </c>
      <c r="T24" s="30"/>
      <c r="U24" s="31">
        <v>0</v>
      </c>
      <c r="V24" s="30"/>
      <c r="W24" s="31">
        <v>400</v>
      </c>
      <c r="X24" s="30"/>
      <c r="Y24" s="31">
        <v>400</v>
      </c>
      <c r="Z24" s="30"/>
      <c r="AA24" s="31">
        <v>0</v>
      </c>
      <c r="AB24" s="50"/>
      <c r="AC24" s="50">
        <v>0</v>
      </c>
      <c r="AD24" s="37">
        <v>0</v>
      </c>
    </row>
    <row r="25" spans="1:30" ht="15.75" customHeight="1" x14ac:dyDescent="0.2">
      <c r="A25" s="4" t="s">
        <v>163</v>
      </c>
      <c r="B25" s="34">
        <f>SUM(D24:Q24)/(+D23+F23+H23+J23+L23+N23+P23)</f>
        <v>-1</v>
      </c>
      <c r="C25" s="64"/>
      <c r="D25" s="36"/>
      <c r="E25" s="37">
        <f>+E24/(+D23*-1)</f>
        <v>1</v>
      </c>
      <c r="F25" s="36"/>
      <c r="G25" s="37" t="e">
        <f>+G24/(+F23*-1)</f>
        <v>#DIV/0!</v>
      </c>
      <c r="H25" s="36"/>
      <c r="I25" s="37" t="e">
        <f>+I24/(+H23*-1)</f>
        <v>#DIV/0!</v>
      </c>
      <c r="J25" s="36"/>
      <c r="K25" s="37">
        <f>+K24/(+J23*-1)</f>
        <v>1</v>
      </c>
      <c r="L25" s="36"/>
      <c r="M25" s="37">
        <f>+M24/(+L23*-1)</f>
        <v>1</v>
      </c>
      <c r="N25" s="36"/>
      <c r="O25" s="37">
        <f>+O24/(+N23*-1)</f>
        <v>1</v>
      </c>
      <c r="P25" s="36"/>
      <c r="Q25" s="37" t="e">
        <f>+Q24/(+P23*-1)</f>
        <v>#DIV/0!</v>
      </c>
      <c r="R25" s="36"/>
      <c r="S25" s="37">
        <f>+S24/(+R23*-1)</f>
        <v>1</v>
      </c>
      <c r="T25" s="36"/>
      <c r="U25" s="37" t="e">
        <f>+U24/(+T23*-1)</f>
        <v>#DIV/0!</v>
      </c>
      <c r="V25" s="36"/>
      <c r="W25" s="37">
        <f>+W24/(+V23*-1)</f>
        <v>1</v>
      </c>
      <c r="X25" s="36"/>
      <c r="Y25" s="37">
        <f>+Y24/(+X23*-1)</f>
        <v>1</v>
      </c>
      <c r="Z25" s="36"/>
      <c r="AA25" s="37" t="e">
        <f>+AA24/(+Z23*-1)</f>
        <v>#DIV/0!</v>
      </c>
      <c r="AB25" s="1"/>
      <c r="AC25" s="1"/>
      <c r="AD25" s="31"/>
    </row>
    <row r="26" spans="1:30" ht="15.75" customHeight="1" x14ac:dyDescent="0.2">
      <c r="A26" s="40" t="s">
        <v>9</v>
      </c>
      <c r="B26" s="12">
        <f>0.38+0.145</f>
        <v>0.52500000000000002</v>
      </c>
      <c r="C26" s="13">
        <v>100</v>
      </c>
      <c r="D26" s="26">
        <f>1413+12-200</f>
        <v>1225</v>
      </c>
      <c r="E26" s="27">
        <f>+D26/C26</f>
        <v>12.25</v>
      </c>
      <c r="F26" s="26">
        <f>+D26+D27</f>
        <v>1225</v>
      </c>
      <c r="G26" s="27">
        <f>+F26/C26</f>
        <v>12.25</v>
      </c>
      <c r="H26" s="26">
        <f>+F26+F27</f>
        <v>1225</v>
      </c>
      <c r="I26" s="27">
        <f>+H26/C26</f>
        <v>12.25</v>
      </c>
      <c r="J26" s="26">
        <f>+H26+H27</f>
        <v>1225</v>
      </c>
      <c r="K26" s="27">
        <f>+J26/C26</f>
        <v>12.25</v>
      </c>
      <c r="L26" s="26">
        <f>+J26+J27</f>
        <v>1225</v>
      </c>
      <c r="M26" s="27">
        <f>+L26/C26</f>
        <v>12.25</v>
      </c>
      <c r="N26" s="26">
        <f>+L26+L27</f>
        <v>1225</v>
      </c>
      <c r="O26" s="27">
        <f>+N26/C26</f>
        <v>12.25</v>
      </c>
      <c r="P26" s="26">
        <f>+N26+N27</f>
        <v>1025</v>
      </c>
      <c r="Q26" s="27">
        <f>+P26/C26</f>
        <v>10.25</v>
      </c>
      <c r="R26" s="26">
        <f>+P26+P27</f>
        <v>1025</v>
      </c>
      <c r="S26" s="27">
        <f>+R26/C26</f>
        <v>10.25</v>
      </c>
      <c r="T26" s="26">
        <f>+R26+R27</f>
        <v>1025</v>
      </c>
      <c r="U26" s="27">
        <f>+T26/C26</f>
        <v>10.25</v>
      </c>
      <c r="V26" s="26">
        <f>+T26+T27</f>
        <v>1025</v>
      </c>
      <c r="W26" s="27">
        <f>+V26/C26</f>
        <v>10.25</v>
      </c>
      <c r="X26" s="26">
        <f>+V26+V27</f>
        <v>825</v>
      </c>
      <c r="Y26" s="27">
        <f>+X26/C26</f>
        <v>8.25</v>
      </c>
      <c r="Z26" s="26">
        <f>+X26+X27+360</f>
        <v>1185</v>
      </c>
      <c r="AA26" s="27">
        <f>+Z26/C26</f>
        <v>11.85</v>
      </c>
      <c r="AB26" s="58">
        <f>+Z26+Z27</f>
        <v>1185</v>
      </c>
      <c r="AC26" s="59">
        <f>+AB26/C26</f>
        <v>11.85</v>
      </c>
      <c r="AD26" s="13"/>
    </row>
    <row r="27" spans="1:30" ht="15.75" customHeight="1" x14ac:dyDescent="0.2">
      <c r="A27" s="66" t="s">
        <v>27</v>
      </c>
      <c r="B27" s="18">
        <v>0.38</v>
      </c>
      <c r="C27" s="43">
        <f>+(+D27+F27+H27+J27+L27+N27+P27+R27+T27+V27+X27+Z27)/12</f>
        <v>-33.333333333333336</v>
      </c>
      <c r="D27" s="30">
        <v>0</v>
      </c>
      <c r="E27" s="31">
        <f>+B26*D27</f>
        <v>0</v>
      </c>
      <c r="F27" s="30">
        <v>0</v>
      </c>
      <c r="G27" s="31">
        <f>+B26*F27</f>
        <v>0</v>
      </c>
      <c r="H27" s="30">
        <v>0</v>
      </c>
      <c r="I27" s="31">
        <f>+B26*H27</f>
        <v>0</v>
      </c>
      <c r="J27" s="30">
        <v>0</v>
      </c>
      <c r="K27" s="31">
        <f>+B26*J27</f>
        <v>0</v>
      </c>
      <c r="L27" s="30">
        <v>0</v>
      </c>
      <c r="M27" s="31">
        <f>+B26*L27</f>
        <v>0</v>
      </c>
      <c r="N27" s="26">
        <v>-200</v>
      </c>
      <c r="O27" s="31">
        <f>+B26*N27</f>
        <v>-105</v>
      </c>
      <c r="P27" s="30">
        <v>0</v>
      </c>
      <c r="Q27" s="31">
        <f>+B26*P27</f>
        <v>0</v>
      </c>
      <c r="R27" s="30">
        <v>0</v>
      </c>
      <c r="S27" s="31">
        <f>+B26*R27</f>
        <v>0</v>
      </c>
      <c r="T27" s="30">
        <v>0</v>
      </c>
      <c r="U27" s="31">
        <f>+B26*T27</f>
        <v>0</v>
      </c>
      <c r="V27" s="30">
        <v>-200</v>
      </c>
      <c r="W27" s="31">
        <f>+B26*V27</f>
        <v>-105</v>
      </c>
      <c r="X27" s="30">
        <v>0</v>
      </c>
      <c r="Y27" s="31">
        <f>+B26*X27</f>
        <v>0</v>
      </c>
      <c r="Z27" s="30">
        <v>0</v>
      </c>
      <c r="AA27" s="31">
        <f>+B26*Z27</f>
        <v>0</v>
      </c>
      <c r="AB27" s="60">
        <f t="shared" ref="AB27:AC27" si="5">+D27+F27+H27+J27+L27+N27+P27+R27+T27+V27+X27+Z27</f>
        <v>-400</v>
      </c>
      <c r="AC27" s="1">
        <f t="shared" si="5"/>
        <v>-210</v>
      </c>
      <c r="AD27" s="19"/>
    </row>
    <row r="28" spans="1:30" ht="15.75" customHeight="1" x14ac:dyDescent="0.2">
      <c r="A28" s="28" t="s">
        <v>15</v>
      </c>
      <c r="B28" s="18"/>
      <c r="C28" s="43">
        <f>+(+D27+F27+H27+J27+L27+N27+P27+R27+T27+V27+X27+Z27)/12</f>
        <v>-33.333333333333336</v>
      </c>
      <c r="D28" s="30"/>
      <c r="E28" s="31">
        <v>0</v>
      </c>
      <c r="F28" s="30"/>
      <c r="G28" s="31">
        <v>0</v>
      </c>
      <c r="H28" s="30"/>
      <c r="I28" s="31">
        <v>0</v>
      </c>
      <c r="J28" s="30"/>
      <c r="K28" s="31">
        <v>0</v>
      </c>
      <c r="L28" s="30"/>
      <c r="M28" s="31">
        <v>0</v>
      </c>
      <c r="N28" s="30"/>
      <c r="O28" s="31">
        <v>200</v>
      </c>
      <c r="P28" s="30"/>
      <c r="Q28" s="31">
        <v>0</v>
      </c>
      <c r="R28" s="30"/>
      <c r="S28" s="31">
        <v>0</v>
      </c>
      <c r="T28" s="30"/>
      <c r="U28" s="31">
        <v>0</v>
      </c>
      <c r="V28" s="30"/>
      <c r="W28" s="31">
        <v>200</v>
      </c>
      <c r="X28" s="30"/>
      <c r="Y28" s="31">
        <v>0</v>
      </c>
      <c r="Z28" s="30"/>
      <c r="AA28" s="31">
        <v>0</v>
      </c>
      <c r="AB28" s="50"/>
      <c r="AC28" s="50">
        <v>0</v>
      </c>
      <c r="AD28" s="37">
        <v>0</v>
      </c>
    </row>
    <row r="29" spans="1:30" ht="15.75" customHeight="1" x14ac:dyDescent="0.2">
      <c r="A29" s="97" t="s">
        <v>163</v>
      </c>
      <c r="B29" s="34">
        <f>SUM(D28:Q28)/(+D27+F27+H27+J27+L27+N27+P27)</f>
        <v>-1</v>
      </c>
      <c r="C29" s="64"/>
      <c r="D29" s="36"/>
      <c r="E29" s="37" t="e">
        <f>+E28/(+D27*-1)</f>
        <v>#DIV/0!</v>
      </c>
      <c r="F29" s="36"/>
      <c r="G29" s="37" t="e">
        <f>+G28/(+F27*-1)</f>
        <v>#DIV/0!</v>
      </c>
      <c r="H29" s="36"/>
      <c r="I29" s="37" t="e">
        <f>+I28/(+H27*-1)</f>
        <v>#DIV/0!</v>
      </c>
      <c r="J29" s="36"/>
      <c r="K29" s="37" t="e">
        <f>+K28/(+J27*-1)</f>
        <v>#DIV/0!</v>
      </c>
      <c r="L29" s="36"/>
      <c r="M29" s="37" t="e">
        <f>+M28/(+L27*-1)</f>
        <v>#DIV/0!</v>
      </c>
      <c r="N29" s="36"/>
      <c r="O29" s="37">
        <f>+O28/(+N27*-1)</f>
        <v>1</v>
      </c>
      <c r="P29" s="36"/>
      <c r="Q29" s="37" t="e">
        <f>+Q28/(+P27*-1)</f>
        <v>#DIV/0!</v>
      </c>
      <c r="R29" s="36"/>
      <c r="S29" s="37" t="e">
        <f>+S28/(+R27*-1)</f>
        <v>#DIV/0!</v>
      </c>
      <c r="T29" s="36"/>
      <c r="U29" s="37" t="e">
        <f>+U28/(+T27*-1)</f>
        <v>#DIV/0!</v>
      </c>
      <c r="V29" s="36"/>
      <c r="W29" s="37">
        <f>+W28/(+V27*-1)</f>
        <v>1</v>
      </c>
      <c r="X29" s="36"/>
      <c r="Y29" s="37" t="e">
        <f>+Y28/(+X27*-1)</f>
        <v>#DIV/0!</v>
      </c>
      <c r="Z29" s="36"/>
      <c r="AA29" s="37" t="e">
        <f>+AA28/(+Z27*-1)</f>
        <v>#DIV/0!</v>
      </c>
      <c r="AB29" s="1"/>
      <c r="AC29" s="1"/>
      <c r="AD29" s="1"/>
    </row>
    <row r="30" spans="1:30" ht="15.75" customHeight="1" x14ac:dyDescent="0.2">
      <c r="A30" s="67"/>
      <c r="B30" s="18"/>
      <c r="C30" s="19"/>
      <c r="D30" s="30"/>
      <c r="E30" s="32"/>
      <c r="F30" s="30"/>
      <c r="G30" s="32"/>
      <c r="H30" s="30"/>
      <c r="I30" s="32"/>
      <c r="J30" s="30"/>
      <c r="K30" s="32"/>
      <c r="L30" s="30"/>
      <c r="M30" s="32"/>
      <c r="N30" s="30"/>
      <c r="O30" s="32"/>
      <c r="P30" s="30"/>
      <c r="Q30" s="32"/>
      <c r="R30" s="30"/>
      <c r="S30" s="32"/>
      <c r="T30" s="30"/>
      <c r="U30" s="32"/>
      <c r="V30" s="30"/>
      <c r="W30" s="32"/>
      <c r="X30" s="30"/>
      <c r="Y30" s="32"/>
      <c r="Z30" s="30"/>
      <c r="AA30" s="32"/>
      <c r="AB30" s="3"/>
    </row>
    <row r="31" spans="1:30" ht="15.75" customHeight="1" x14ac:dyDescent="0.2">
      <c r="A31" s="25" t="s">
        <v>10</v>
      </c>
      <c r="B31" s="12">
        <f>0.852+0.291</f>
        <v>1.143</v>
      </c>
      <c r="C31" s="13">
        <v>350</v>
      </c>
      <c r="D31" s="26">
        <f>2246-483+240+240</f>
        <v>2243</v>
      </c>
      <c r="E31" s="27">
        <f>+D31/C31</f>
        <v>6.4085714285714284</v>
      </c>
      <c r="F31" s="26">
        <f>+D31+D32</f>
        <v>2243</v>
      </c>
      <c r="G31" s="27">
        <f>+F31/C31</f>
        <v>6.4085714285714284</v>
      </c>
      <c r="H31" s="26">
        <f>+F31+F32</f>
        <v>2243</v>
      </c>
      <c r="I31" s="27">
        <f>+H31/C31</f>
        <v>6.4085714285714284</v>
      </c>
      <c r="J31" s="26">
        <f>+H31+H32</f>
        <v>1243</v>
      </c>
      <c r="K31" s="27">
        <f>+J31/C31</f>
        <v>3.5514285714285716</v>
      </c>
      <c r="L31" s="26">
        <f>+J31+J32</f>
        <v>240</v>
      </c>
      <c r="M31" s="27">
        <f>+L31/C31</f>
        <v>0.68571428571428572</v>
      </c>
      <c r="N31" s="26">
        <f>+L31+L32</f>
        <v>240</v>
      </c>
      <c r="O31" s="27">
        <f>+N31/C31</f>
        <v>0.68571428571428572</v>
      </c>
      <c r="P31" s="26">
        <f>+N31+N32+1920</f>
        <v>2160</v>
      </c>
      <c r="Q31" s="27">
        <f>+P31/C31</f>
        <v>6.1714285714285717</v>
      </c>
      <c r="R31" s="26">
        <f>+P31+P32</f>
        <v>1160</v>
      </c>
      <c r="S31" s="80">
        <f>+R31/C31</f>
        <v>3.3142857142857145</v>
      </c>
      <c r="T31" s="26">
        <f>+R31+R32</f>
        <v>1160</v>
      </c>
      <c r="U31" s="80">
        <f>+T31/C31</f>
        <v>3.3142857142857145</v>
      </c>
      <c r="V31" s="26">
        <f>+T31+T32+2160</f>
        <v>2320</v>
      </c>
      <c r="W31" s="27">
        <f>+V31/C31</f>
        <v>6.628571428571429</v>
      </c>
      <c r="X31" s="26">
        <f>+V31+V32</f>
        <v>2320</v>
      </c>
      <c r="Y31" s="27">
        <f>+X31/C31</f>
        <v>6.628571428571429</v>
      </c>
      <c r="Z31" s="26">
        <f>+X31+X32+1200</f>
        <v>3520</v>
      </c>
      <c r="AA31" s="27">
        <f>+Z31/C31</f>
        <v>10.057142857142857</v>
      </c>
      <c r="AB31" s="58">
        <f>+Z31+Z32</f>
        <v>3520</v>
      </c>
      <c r="AC31" s="59">
        <f>+AB31/C31</f>
        <v>10.057142857142857</v>
      </c>
      <c r="AD31" s="13"/>
    </row>
    <row r="32" spans="1:30" ht="15.75" customHeight="1" x14ac:dyDescent="0.2">
      <c r="A32" s="28" t="s">
        <v>27</v>
      </c>
      <c r="B32" s="18">
        <v>0.85199999999999998</v>
      </c>
      <c r="C32" s="43">
        <f>+(+D32+F32+H32+J32+L32+N32+P32+R32+T32+V32+X32+Z32)/12</f>
        <v>-333.58333333333331</v>
      </c>
      <c r="D32" s="30">
        <v>0</v>
      </c>
      <c r="E32" s="31">
        <f>+B31*D32</f>
        <v>0</v>
      </c>
      <c r="F32" s="30">
        <v>0</v>
      </c>
      <c r="G32" s="31">
        <f>+B31*F32</f>
        <v>0</v>
      </c>
      <c r="H32" s="30">
        <v>-1000</v>
      </c>
      <c r="I32" s="31">
        <f>+B31*H32</f>
        <v>-1143</v>
      </c>
      <c r="J32" s="30">
        <v>-1003</v>
      </c>
      <c r="K32" s="31">
        <f>+B31*J32</f>
        <v>-1146.4290000000001</v>
      </c>
      <c r="L32" s="30">
        <v>0</v>
      </c>
      <c r="M32" s="31">
        <f>+B31*L32</f>
        <v>0</v>
      </c>
      <c r="N32" s="30">
        <v>0</v>
      </c>
      <c r="O32" s="31">
        <f>+B31*N32</f>
        <v>0</v>
      </c>
      <c r="P32" s="30">
        <v>-1000</v>
      </c>
      <c r="Q32" s="31">
        <f>+B31*P32</f>
        <v>-1143</v>
      </c>
      <c r="R32" s="30">
        <v>0</v>
      </c>
      <c r="S32" s="31">
        <f>+B31*R32</f>
        <v>0</v>
      </c>
      <c r="T32" s="30">
        <v>-1000</v>
      </c>
      <c r="U32" s="31">
        <f>+B31*T32</f>
        <v>-1143</v>
      </c>
      <c r="V32" s="30">
        <v>0</v>
      </c>
      <c r="W32" s="31">
        <f>+B31*V32</f>
        <v>0</v>
      </c>
      <c r="X32" s="30">
        <v>0</v>
      </c>
      <c r="Y32" s="31">
        <f>+B31*X32</f>
        <v>0</v>
      </c>
      <c r="Z32" s="30">
        <v>0</v>
      </c>
      <c r="AA32" s="31">
        <f>+B31*Z32</f>
        <v>0</v>
      </c>
      <c r="AB32" s="60">
        <f t="shared" ref="AB32:AC32" si="6">+D32+F32+H32+J32+L32+N32+P32+R32+T32+V32+X32+Z32</f>
        <v>-4003</v>
      </c>
      <c r="AC32" s="1">
        <f t="shared" si="6"/>
        <v>-4575.4290000000001</v>
      </c>
      <c r="AD32" s="19"/>
    </row>
    <row r="33" spans="1:33" ht="15.75" customHeight="1" x14ac:dyDescent="0.2">
      <c r="A33" s="42" t="s">
        <v>15</v>
      </c>
      <c r="B33" s="18"/>
      <c r="C33" s="43">
        <f>+(+D32+F32+H32+J32+L32+N32+P32+R32+T32+V32+X32+Z32)/12</f>
        <v>-333.58333333333331</v>
      </c>
      <c r="D33" s="30"/>
      <c r="E33" s="31">
        <v>0</v>
      </c>
      <c r="F33" s="30"/>
      <c r="G33" s="31">
        <v>0</v>
      </c>
      <c r="H33" s="30"/>
      <c r="I33" s="31">
        <v>3700</v>
      </c>
      <c r="J33" s="30"/>
      <c r="K33" s="31">
        <v>3711.1</v>
      </c>
      <c r="L33" s="30"/>
      <c r="M33" s="31">
        <v>0</v>
      </c>
      <c r="N33" s="30"/>
      <c r="O33" s="31">
        <v>0</v>
      </c>
      <c r="P33" s="30"/>
      <c r="Q33" s="31">
        <v>3700</v>
      </c>
      <c r="R33" s="30"/>
      <c r="S33" s="31">
        <v>0</v>
      </c>
      <c r="T33" s="30"/>
      <c r="U33" s="31">
        <v>3700</v>
      </c>
      <c r="V33" s="30"/>
      <c r="W33" s="31">
        <v>0</v>
      </c>
      <c r="X33" s="30"/>
      <c r="Y33" s="31">
        <v>0</v>
      </c>
      <c r="Z33" s="30"/>
      <c r="AA33" s="31">
        <v>0</v>
      </c>
      <c r="AB33" s="50"/>
      <c r="AC33" s="50">
        <v>0</v>
      </c>
      <c r="AD33" s="37">
        <v>0</v>
      </c>
    </row>
    <row r="34" spans="1:33" ht="15.75" customHeight="1" x14ac:dyDescent="0.2">
      <c r="A34" s="28"/>
      <c r="B34" s="34">
        <f>SUM(D33:Q33)/(+D32+F32+H32+J32+L32+N32+P32)</f>
        <v>-3.7</v>
      </c>
      <c r="C34" s="64"/>
      <c r="D34" s="36"/>
      <c r="E34" s="37" t="e">
        <f>+E33/(+D32*-1)</f>
        <v>#DIV/0!</v>
      </c>
      <c r="F34" s="36"/>
      <c r="G34" s="37" t="e">
        <f>+G33/(+F32*-1)</f>
        <v>#DIV/0!</v>
      </c>
      <c r="H34" s="36"/>
      <c r="I34" s="37">
        <f>+I33/(+H32*-1)</f>
        <v>3.7</v>
      </c>
      <c r="J34" s="36"/>
      <c r="K34" s="37">
        <f>+K33/(+J32*-1)</f>
        <v>3.6999999999999997</v>
      </c>
      <c r="L34" s="36"/>
      <c r="M34" s="37" t="e">
        <f>+M33/(+L32*-1)</f>
        <v>#DIV/0!</v>
      </c>
      <c r="N34" s="36"/>
      <c r="O34" s="37" t="e">
        <f>+O33/(+N32*-1)</f>
        <v>#DIV/0!</v>
      </c>
      <c r="P34" s="36"/>
      <c r="Q34" s="37">
        <f>+Q33/(+P32*-1)</f>
        <v>3.7</v>
      </c>
      <c r="R34" s="36"/>
      <c r="S34" s="37" t="e">
        <f>+S33/(+R32*-1)</f>
        <v>#DIV/0!</v>
      </c>
      <c r="T34" s="36"/>
      <c r="U34" s="37">
        <f>+U33/(+T32*-1)</f>
        <v>3.7</v>
      </c>
      <c r="V34" s="36"/>
      <c r="W34" s="37" t="e">
        <f>+W33/(+V32*-1)</f>
        <v>#DIV/0!</v>
      </c>
      <c r="X34" s="36"/>
      <c r="Y34" s="37" t="e">
        <f>+Y33/(+X32*-1)</f>
        <v>#DIV/0!</v>
      </c>
      <c r="Z34" s="36"/>
      <c r="AA34" s="37" t="e">
        <f>+AA33/(+Z32*-1)</f>
        <v>#DIV/0!</v>
      </c>
      <c r="AB34" s="1"/>
      <c r="AC34" s="1"/>
      <c r="AD34" s="31"/>
    </row>
    <row r="35" spans="1:33" ht="15.75" customHeight="1" x14ac:dyDescent="0.2">
      <c r="A35" s="28" t="s">
        <v>11</v>
      </c>
      <c r="B35" s="12">
        <f>1.118+0.291</f>
        <v>1.409</v>
      </c>
      <c r="C35" s="13">
        <v>600</v>
      </c>
      <c r="D35" s="26">
        <f>5965-1431+118</f>
        <v>4652</v>
      </c>
      <c r="E35" s="27">
        <f>+D35/C35</f>
        <v>7.753333333333333</v>
      </c>
      <c r="F35" s="26">
        <f>+D35+D36</f>
        <v>4152</v>
      </c>
      <c r="G35" s="27">
        <f>+F35/C35</f>
        <v>6.92</v>
      </c>
      <c r="H35" s="26">
        <f>+F35+F36</f>
        <v>4152</v>
      </c>
      <c r="I35" s="27">
        <f>+H35/C35</f>
        <v>6.92</v>
      </c>
      <c r="J35" s="26">
        <f>+H35+H36</f>
        <v>3152</v>
      </c>
      <c r="K35" s="27">
        <f>+J35/C35</f>
        <v>5.253333333333333</v>
      </c>
      <c r="L35" s="26">
        <f>+J35+J36</f>
        <v>2132</v>
      </c>
      <c r="M35" s="27">
        <f>+L35/C35</f>
        <v>3.5533333333333332</v>
      </c>
      <c r="N35" s="26">
        <f>+L35+L36</f>
        <v>1632</v>
      </c>
      <c r="O35" s="80">
        <f>+N35/C35</f>
        <v>2.72</v>
      </c>
      <c r="P35" s="26">
        <f>+N35+N36+1080</f>
        <v>1712</v>
      </c>
      <c r="Q35" s="80">
        <f>+P35/C35</f>
        <v>2.8533333333333335</v>
      </c>
      <c r="R35" s="26">
        <f>+P35+P36</f>
        <v>712</v>
      </c>
      <c r="S35" s="80">
        <f>+R35/C35</f>
        <v>1.1866666666666668</v>
      </c>
      <c r="T35" s="26">
        <f>+R35+R36</f>
        <v>712</v>
      </c>
      <c r="U35" s="80">
        <f>+T35/C35</f>
        <v>1.1866666666666668</v>
      </c>
      <c r="V35" s="26">
        <f>+T35+T36+3960</f>
        <v>3960</v>
      </c>
      <c r="W35" s="27">
        <f>+V35/C35</f>
        <v>6.6</v>
      </c>
      <c r="X35" s="26">
        <f>+V35+V36</f>
        <v>3960</v>
      </c>
      <c r="Y35" s="80">
        <f>+X35/C35</f>
        <v>6.6</v>
      </c>
      <c r="Z35" s="26">
        <f>+X35+X36+3480</f>
        <v>6152</v>
      </c>
      <c r="AA35" s="27">
        <f>+Z35/C35</f>
        <v>10.253333333333334</v>
      </c>
      <c r="AB35" s="58">
        <f>+Z35+Z36</f>
        <v>6152</v>
      </c>
      <c r="AC35" s="59">
        <f>+AB35/C35</f>
        <v>10.253333333333334</v>
      </c>
      <c r="AD35" s="13"/>
    </row>
    <row r="36" spans="1:33" ht="15.75" customHeight="1" x14ac:dyDescent="0.2">
      <c r="A36" s="28" t="s">
        <v>27</v>
      </c>
      <c r="B36" s="18">
        <v>1.1180000000000001</v>
      </c>
      <c r="C36" s="43">
        <f>+(+D36+F36+H36+J36+L36+N36+P36+R36+T36+V36+X36+Z36)/12</f>
        <v>-585</v>
      </c>
      <c r="D36" s="30">
        <v>-500</v>
      </c>
      <c r="E36" s="31">
        <f>+B35*D36</f>
        <v>-704.5</v>
      </c>
      <c r="F36" s="30">
        <v>0</v>
      </c>
      <c r="G36" s="31">
        <f>+B35*F36</f>
        <v>0</v>
      </c>
      <c r="H36" s="30">
        <v>-1000</v>
      </c>
      <c r="I36" s="31">
        <f>+B35*H36</f>
        <v>-1409</v>
      </c>
      <c r="J36" s="30">
        <v>-1020</v>
      </c>
      <c r="K36" s="31">
        <f>+B35*J36</f>
        <v>-1437.18</v>
      </c>
      <c r="L36" s="30">
        <v>-500</v>
      </c>
      <c r="M36" s="31">
        <f>+B35*L36</f>
        <v>-704.5</v>
      </c>
      <c r="N36" s="30">
        <v>-1000</v>
      </c>
      <c r="O36" s="31">
        <f>+B35*N36</f>
        <v>-1409</v>
      </c>
      <c r="P36" s="30">
        <v>-1000</v>
      </c>
      <c r="Q36" s="31">
        <f>+B35*P36</f>
        <v>-1409</v>
      </c>
      <c r="R36" s="30">
        <v>0</v>
      </c>
      <c r="S36" s="31">
        <f>+B35*R36</f>
        <v>0</v>
      </c>
      <c r="T36" s="30">
        <v>-712</v>
      </c>
      <c r="U36" s="31">
        <f>+B35*T36</f>
        <v>-1003.208</v>
      </c>
      <c r="V36" s="30">
        <v>0</v>
      </c>
      <c r="W36" s="31">
        <f>+B35*V36</f>
        <v>0</v>
      </c>
      <c r="X36" s="30">
        <v>-1288</v>
      </c>
      <c r="Y36" s="31">
        <f>+B35*X36</f>
        <v>-1814.7920000000001</v>
      </c>
      <c r="Z36" s="30">
        <v>0</v>
      </c>
      <c r="AA36" s="31">
        <f>+B35*Z36</f>
        <v>0</v>
      </c>
      <c r="AB36" s="60">
        <f t="shared" ref="AB36:AC36" si="7">+D36+F36+H36+J36+L36+N36+P36+R36+T36+V36+X36+Z36</f>
        <v>-7020</v>
      </c>
      <c r="AC36" s="1">
        <f t="shared" si="7"/>
        <v>-9891.18</v>
      </c>
      <c r="AD36" s="19"/>
    </row>
    <row r="37" spans="1:33" ht="15.75" customHeight="1" x14ac:dyDescent="0.2">
      <c r="A37" s="42" t="s">
        <v>15</v>
      </c>
      <c r="B37" s="18"/>
      <c r="C37" s="43">
        <f>+(+D36+F36+H36+J36+L36+N36+P36+R36+T36+V36+X36+Z36)/12</f>
        <v>-585</v>
      </c>
      <c r="D37" s="30"/>
      <c r="E37" s="31">
        <v>1850</v>
      </c>
      <c r="F37" s="30"/>
      <c r="G37" s="31">
        <v>0</v>
      </c>
      <c r="H37" s="30"/>
      <c r="I37" s="31">
        <v>3700</v>
      </c>
      <c r="J37" s="30"/>
      <c r="K37" s="31">
        <v>3774</v>
      </c>
      <c r="L37" s="30"/>
      <c r="M37" s="31">
        <v>1850</v>
      </c>
      <c r="N37" s="30"/>
      <c r="O37" s="31">
        <v>3700</v>
      </c>
      <c r="P37" s="30"/>
      <c r="Q37" s="31">
        <v>3700</v>
      </c>
      <c r="R37" s="30"/>
      <c r="S37" s="31">
        <v>0</v>
      </c>
      <c r="T37" s="30"/>
      <c r="U37" s="31">
        <v>2664</v>
      </c>
      <c r="V37" s="30"/>
      <c r="W37" s="31">
        <v>0</v>
      </c>
      <c r="X37" s="30"/>
      <c r="Y37" s="31">
        <v>4765</v>
      </c>
      <c r="Z37" s="30"/>
      <c r="AA37" s="31">
        <v>0</v>
      </c>
      <c r="AB37" s="50"/>
      <c r="AC37" s="50">
        <v>0</v>
      </c>
      <c r="AD37" s="37">
        <v>0</v>
      </c>
    </row>
    <row r="38" spans="1:33" ht="15.75" customHeight="1" x14ac:dyDescent="0.2">
      <c r="B38" s="34">
        <f>SUM(D37:Q37)/(+D36+F36+H36+J36+L36+N36+P36)</f>
        <v>-3.7</v>
      </c>
      <c r="C38" s="64"/>
      <c r="D38" s="36"/>
      <c r="E38" s="37">
        <f>+E37/(+D36*-1)</f>
        <v>3.7</v>
      </c>
      <c r="F38" s="36"/>
      <c r="G38" s="37" t="e">
        <f>+G37/(+F36*-1)</f>
        <v>#DIV/0!</v>
      </c>
      <c r="H38" s="36"/>
      <c r="I38" s="37">
        <f>+I37/(+H36*-1)</f>
        <v>3.7</v>
      </c>
      <c r="J38" s="36"/>
      <c r="K38" s="37">
        <f>+K37/(+J36*-1)</f>
        <v>3.7</v>
      </c>
      <c r="L38" s="36"/>
      <c r="M38" s="37">
        <f>+M37/(+L36*-1)</f>
        <v>3.7</v>
      </c>
      <c r="N38" s="36"/>
      <c r="O38" s="37">
        <f>+O37/(+N36*-1)</f>
        <v>3.7</v>
      </c>
      <c r="P38" s="36"/>
      <c r="Q38" s="37">
        <f>+Q37/(+P36*-1)</f>
        <v>3.7</v>
      </c>
      <c r="R38" s="36"/>
      <c r="S38" s="37" t="e">
        <f>+S37/(+R36*-1)</f>
        <v>#DIV/0!</v>
      </c>
      <c r="T38" s="36"/>
      <c r="U38" s="37">
        <f>+U37/(+T36*-1)</f>
        <v>3.7415730337078652</v>
      </c>
      <c r="V38" s="36"/>
      <c r="W38" s="37" t="e">
        <f>+W37/(+V36*-1)</f>
        <v>#DIV/0!</v>
      </c>
      <c r="X38" s="36"/>
      <c r="Y38" s="37">
        <f>+Y37/(+X36*-1)</f>
        <v>3.6995341614906834</v>
      </c>
      <c r="Z38" s="36"/>
      <c r="AA38" s="37" t="e">
        <f>+AA37/(+Z36*-1)</f>
        <v>#DIV/0!</v>
      </c>
      <c r="AB38" s="1"/>
      <c r="AC38" s="1">
        <f>+AC37/(+AB36*-1)</f>
        <v>0</v>
      </c>
      <c r="AD38" s="1"/>
      <c r="AE38" s="4" t="e">
        <f>+AE37/(+AD36*-1)</f>
        <v>#DIV/0!</v>
      </c>
      <c r="AG38" s="4" t="e">
        <f>+AG37/(+AF36*-1)</f>
        <v>#DIV/0!</v>
      </c>
    </row>
    <row r="39" spans="1:33" ht="15.75" customHeight="1" x14ac:dyDescent="0.2">
      <c r="A39" s="59"/>
      <c r="B39" s="18"/>
      <c r="C39" s="19"/>
      <c r="D39" s="30"/>
      <c r="E39" s="32"/>
      <c r="F39" s="30"/>
      <c r="G39" s="32"/>
      <c r="H39" s="30"/>
      <c r="I39" s="32"/>
      <c r="J39" s="30"/>
      <c r="K39" s="32"/>
      <c r="L39" s="30"/>
      <c r="M39" s="32"/>
      <c r="N39" s="30"/>
      <c r="O39" s="32"/>
      <c r="P39" s="30"/>
      <c r="Q39" s="32"/>
      <c r="R39" s="30"/>
      <c r="S39" s="32"/>
      <c r="T39" s="30"/>
      <c r="U39" s="32"/>
      <c r="V39" s="30"/>
      <c r="W39" s="32"/>
      <c r="X39" s="30"/>
      <c r="Y39" s="32"/>
      <c r="Z39" s="30"/>
      <c r="AA39" s="32"/>
      <c r="AB39" s="3"/>
    </row>
    <row r="40" spans="1:33" ht="15.75" customHeight="1" x14ac:dyDescent="0.2">
      <c r="A40" s="25" t="s">
        <v>12</v>
      </c>
      <c r="B40" s="12">
        <f>1.76+0.291</f>
        <v>2.0510000000000002</v>
      </c>
      <c r="C40" s="13">
        <v>550</v>
      </c>
      <c r="D40" s="59">
        <f>5048-38</f>
        <v>5010</v>
      </c>
      <c r="E40" s="27">
        <f>+D40/C40</f>
        <v>9.1090909090909093</v>
      </c>
      <c r="F40" s="26">
        <f>+D40+D41</f>
        <v>5010</v>
      </c>
      <c r="G40" s="27">
        <f>+F40/C40</f>
        <v>9.1090909090909093</v>
      </c>
      <c r="H40" s="26">
        <f>+F40+F41</f>
        <v>5010</v>
      </c>
      <c r="I40" s="27">
        <f>+H40/C40</f>
        <v>9.1090909090909093</v>
      </c>
      <c r="J40" s="26">
        <f>+H40+H41</f>
        <v>3916</v>
      </c>
      <c r="K40" s="27">
        <f>+J40/C40</f>
        <v>7.12</v>
      </c>
      <c r="L40" s="26">
        <f>+J40+J41</f>
        <v>3382</v>
      </c>
      <c r="M40" s="27">
        <f>+L40/C40</f>
        <v>6.1490909090909094</v>
      </c>
      <c r="N40" s="26">
        <f>+L40+L41</f>
        <v>2782</v>
      </c>
      <c r="O40" s="27">
        <f>+N40/C40</f>
        <v>5.0581818181818186</v>
      </c>
      <c r="P40" s="26">
        <f>+N40+N41</f>
        <v>1782</v>
      </c>
      <c r="Q40" s="27">
        <f>+P40/C40</f>
        <v>3.24</v>
      </c>
      <c r="R40" s="26">
        <f>+P40+P41</f>
        <v>993</v>
      </c>
      <c r="S40" s="80">
        <f>I34+R40/C40</f>
        <v>5.5054545454545458</v>
      </c>
      <c r="T40" s="26">
        <f>+R40+R41</f>
        <v>187</v>
      </c>
      <c r="U40" s="80">
        <f>+T40/C40</f>
        <v>0.34</v>
      </c>
      <c r="V40" s="26">
        <f>+T40+T41+6188</f>
        <v>6188</v>
      </c>
      <c r="W40" s="27">
        <f>+V40/C40</f>
        <v>11.25090909090909</v>
      </c>
      <c r="X40" s="26">
        <f>+V40+V41</f>
        <v>6188</v>
      </c>
      <c r="Y40" s="27">
        <f>+X40/C40</f>
        <v>11.25090909090909</v>
      </c>
      <c r="Z40" s="26">
        <f>+X40+X41</f>
        <v>5438</v>
      </c>
      <c r="AA40" s="27">
        <f>+Z40/C40</f>
        <v>9.8872727272727268</v>
      </c>
      <c r="AB40" s="26">
        <f>+Z40+Z41</f>
        <v>4628</v>
      </c>
      <c r="AC40" s="59">
        <f>+AB40/C40</f>
        <v>8.4145454545454541</v>
      </c>
      <c r="AD40" s="13"/>
    </row>
    <row r="41" spans="1:33" ht="15.75" customHeight="1" x14ac:dyDescent="0.2">
      <c r="A41" s="28" t="s">
        <v>27</v>
      </c>
      <c r="B41" s="18">
        <v>1.76</v>
      </c>
      <c r="C41" s="43">
        <f>+(+D41+F41+H41+J41+L41+N41+P41+R41+T41+V41+X41+Z41)/12</f>
        <v>-547.5</v>
      </c>
      <c r="D41" s="4">
        <v>0</v>
      </c>
      <c r="E41" s="31">
        <f>+B40*D41</f>
        <v>0</v>
      </c>
      <c r="F41" s="30">
        <v>0</v>
      </c>
      <c r="G41" s="31">
        <f>+B40*F41</f>
        <v>0</v>
      </c>
      <c r="H41" s="30">
        <v>-1094</v>
      </c>
      <c r="I41" s="31">
        <f>+B40*H41</f>
        <v>-2243.7940000000003</v>
      </c>
      <c r="J41" s="30">
        <v>-534</v>
      </c>
      <c r="K41" s="31">
        <f>+B40*J41</f>
        <v>-1095.2340000000002</v>
      </c>
      <c r="L41" s="30">
        <v>-600</v>
      </c>
      <c r="M41" s="31">
        <f>+B40*L41</f>
        <v>-1230.6000000000001</v>
      </c>
      <c r="N41" s="30">
        <v>-1000</v>
      </c>
      <c r="O41" s="31">
        <f>+B40*N41</f>
        <v>-2051</v>
      </c>
      <c r="P41" s="30">
        <v>-789</v>
      </c>
      <c r="Q41" s="31">
        <f>+B40*P41</f>
        <v>-1618.239</v>
      </c>
      <c r="R41" s="30">
        <v>-806</v>
      </c>
      <c r="S41" s="31">
        <f>+B40*R41</f>
        <v>-1653.1060000000002</v>
      </c>
      <c r="T41" s="30">
        <v>-187</v>
      </c>
      <c r="U41" s="31">
        <f>+B40*T41</f>
        <v>-383.53700000000003</v>
      </c>
      <c r="V41" s="30">
        <v>0</v>
      </c>
      <c r="W41" s="31">
        <f>+B40*V41</f>
        <v>0</v>
      </c>
      <c r="X41" s="30">
        <v>-750</v>
      </c>
      <c r="Y41" s="31">
        <f>+B40*X41</f>
        <v>-1538.2500000000002</v>
      </c>
      <c r="Z41" s="30">
        <v>-810</v>
      </c>
      <c r="AA41" s="31">
        <f>+B40*Z41</f>
        <v>-1661.3100000000002</v>
      </c>
      <c r="AB41" s="60">
        <f t="shared" ref="AB41:AC41" si="8">+D41+F41+H41+J41+L41+N41+P41+R41+T41+V41+X41+Z41</f>
        <v>-6570</v>
      </c>
      <c r="AC41" s="1">
        <f t="shared" si="8"/>
        <v>-13475.07</v>
      </c>
      <c r="AD41" s="19"/>
    </row>
    <row r="42" spans="1:33" ht="15.75" customHeight="1" x14ac:dyDescent="0.2">
      <c r="A42" s="66" t="s">
        <v>15</v>
      </c>
      <c r="B42" s="6"/>
      <c r="C42" s="43">
        <f>+(+D41+F41+H41+J41+L41+N41+P41+R41+T41+V41+X41+Z41)/12</f>
        <v>-547.5</v>
      </c>
      <c r="E42" s="31">
        <v>0</v>
      </c>
      <c r="G42" s="5">
        <v>0</v>
      </c>
      <c r="I42" s="31">
        <v>5918.1</v>
      </c>
      <c r="K42" s="5">
        <v>2670</v>
      </c>
      <c r="M42" s="31">
        <v>3355</v>
      </c>
      <c r="O42" s="31">
        <v>5340</v>
      </c>
      <c r="Q42" s="31">
        <v>4244.8500000000004</v>
      </c>
      <c r="S42" s="31">
        <v>4349.9399999999996</v>
      </c>
      <c r="U42" s="31">
        <v>1280.95</v>
      </c>
      <c r="W42" s="31">
        <v>0</v>
      </c>
      <c r="Y42" s="31">
        <v>4005</v>
      </c>
      <c r="AA42" s="31">
        <v>4374</v>
      </c>
      <c r="AB42" s="50"/>
      <c r="AC42" s="50">
        <v>0</v>
      </c>
      <c r="AD42" s="37">
        <v>0</v>
      </c>
    </row>
    <row r="43" spans="1:33" ht="15.75" customHeight="1" x14ac:dyDescent="0.2">
      <c r="A43" s="67"/>
      <c r="B43" s="34">
        <f>SUM(D42:Q42)/(+D41+F41+H41+J41+L41+N41+P41)</f>
        <v>-5.3592108538710477</v>
      </c>
      <c r="C43" s="64"/>
      <c r="D43" s="36"/>
      <c r="E43" s="37" t="e">
        <f>+E42/(+D41*-1)</f>
        <v>#DIV/0!</v>
      </c>
      <c r="F43" s="36"/>
      <c r="G43" s="37" t="e">
        <f>+G42/(+F41*-1)</f>
        <v>#DIV/0!</v>
      </c>
      <c r="H43" s="36"/>
      <c r="I43" s="37">
        <f>+I42/(+H41*-1)</f>
        <v>5.4095978062157224</v>
      </c>
      <c r="J43" s="36"/>
      <c r="K43" s="37">
        <f>+K42/(+J41*-1)</f>
        <v>5</v>
      </c>
      <c r="L43" s="36"/>
      <c r="M43" s="37">
        <f>+M42/(+L41*-1)</f>
        <v>5.5916666666666668</v>
      </c>
      <c r="N43" s="36"/>
      <c r="O43" s="37">
        <f>+O42/(+N41*-1)</f>
        <v>5.34</v>
      </c>
      <c r="P43" s="36"/>
      <c r="Q43" s="37">
        <f>+Q42/(+P41*-1)</f>
        <v>5.3800380228136886</v>
      </c>
      <c r="R43" s="36"/>
      <c r="S43" s="37">
        <f>+S42/(+R41*-1)</f>
        <v>5.3969478908188577</v>
      </c>
      <c r="T43" s="36"/>
      <c r="U43" s="37">
        <f>+U42/(+T41*-1)</f>
        <v>6.8500000000000005</v>
      </c>
      <c r="V43" s="36"/>
      <c r="W43" s="37" t="e">
        <f>+W42/(+V41*-1)</f>
        <v>#DIV/0!</v>
      </c>
      <c r="X43" s="36"/>
      <c r="Y43" s="37">
        <f>+Y42/(+X41*-1)</f>
        <v>5.34</v>
      </c>
      <c r="Z43" s="36"/>
      <c r="AA43" s="37">
        <f>+AA42/(+Z41*-1)</f>
        <v>5.4</v>
      </c>
      <c r="AB43" s="1"/>
      <c r="AC43" s="1"/>
      <c r="AD43" s="1"/>
    </row>
    <row r="44" spans="1:33" ht="15.75" customHeight="1" x14ac:dyDescent="0.2">
      <c r="B44" s="6"/>
      <c r="C44" s="4">
        <f>SUM(C5:C41)</f>
        <v>-3801.5833333333339</v>
      </c>
      <c r="E44" s="3"/>
      <c r="G44" s="3"/>
      <c r="I44" s="3"/>
      <c r="K44" s="3"/>
    </row>
    <row r="45" spans="1:33" ht="15.75" customHeight="1" x14ac:dyDescent="0.2">
      <c r="B45" s="6"/>
      <c r="E45" s="3"/>
      <c r="G45" s="3"/>
      <c r="I45" s="3"/>
      <c r="K45" s="3"/>
    </row>
    <row r="46" spans="1:33" ht="15.75" customHeight="1" x14ac:dyDescent="0.2">
      <c r="B46" s="6"/>
      <c r="E46" s="3"/>
      <c r="G46" s="3"/>
      <c r="I46" s="3"/>
      <c r="K46" s="3"/>
    </row>
    <row r="47" spans="1:33" ht="15.75" customHeight="1" x14ac:dyDescent="0.2">
      <c r="B47" s="6"/>
      <c r="E47" s="3"/>
      <c r="G47" s="3"/>
      <c r="I47" s="3"/>
      <c r="K47" s="3"/>
      <c r="AC47" s="76">
        <f>+AC5+AC9+AC13+AC18+AC22+AC26+AC31+AC35+AC40</f>
        <v>91.730467871997291</v>
      </c>
      <c r="AD47" s="4" t="s">
        <v>58</v>
      </c>
    </row>
    <row r="48" spans="1:33" ht="15.75" customHeight="1" x14ac:dyDescent="0.2">
      <c r="A48" s="45" t="s">
        <v>14</v>
      </c>
      <c r="B48" s="46"/>
      <c r="C48" s="46">
        <f t="shared" ref="C48:C49" si="9">(+E48+G48+I48+K48+M48+O48+Q48+S48+U48+W48+Y48+AA48)/12</f>
        <v>-5674.8469166666664</v>
      </c>
      <c r="D48" s="45">
        <v>0</v>
      </c>
      <c r="E48" s="47">
        <f t="shared" ref="E48:E49" si="10">+E6+E10+E14+E19+E23+E27+E32+E36+E41</f>
        <v>-5506.2889999999998</v>
      </c>
      <c r="F48" s="45">
        <v>0</v>
      </c>
      <c r="G48" s="47">
        <f t="shared" ref="G48:G49" si="11">+G6+G10+G14+G19+G23+G27+G32+G36+G41</f>
        <v>-1432.0879999999997</v>
      </c>
      <c r="H48" s="45">
        <v>0</v>
      </c>
      <c r="I48" s="47">
        <f t="shared" ref="I48:I49" si="12">+I6+I10+I14+I19+I23+I27+I32+I36+I41</f>
        <v>-7635.3950000000004</v>
      </c>
      <c r="J48" s="45">
        <v>0</v>
      </c>
      <c r="K48" s="47">
        <f t="shared" ref="K48:K49" si="13">+K6+K10+K14+K19+K23+K27+K32+K36+K41</f>
        <v>-6595.3570000000009</v>
      </c>
      <c r="L48" s="45">
        <v>0</v>
      </c>
      <c r="M48" s="47">
        <f t="shared" ref="M48:M49" si="14">+M6+M10+M14+M19+M23+M27+M32+M36+M41</f>
        <v>-7939.8760000000011</v>
      </c>
      <c r="N48" s="45">
        <v>0</v>
      </c>
      <c r="O48" s="47">
        <f t="shared" ref="O48:O49" si="15">+O6+O10+O14+O19+O23+O27+O32+O36+O41</f>
        <v>-9144.5649999999987</v>
      </c>
      <c r="P48" s="45">
        <v>0</v>
      </c>
      <c r="Q48" s="47">
        <f t="shared" ref="Q48:Q49" si="16">+Q6+Q10+Q14+Q19+Q23+Q27+Q32+Q36+Q41</f>
        <v>-5035.0470000000005</v>
      </c>
      <c r="R48" s="45">
        <v>0</v>
      </c>
      <c r="S48" s="47">
        <f t="shared" ref="S48:S49" si="17">+S6+S10+S14+S19+S23+S27+S32+S36+S41</f>
        <v>-5379.7939999999999</v>
      </c>
      <c r="T48" s="45">
        <v>0</v>
      </c>
      <c r="U48" s="47">
        <f t="shared" ref="U48:U49" si="18">+U6+U10+U14+U19+U23+U27+U32+U36+U41</f>
        <v>-5084.433</v>
      </c>
      <c r="V48" s="45">
        <v>-4906.75</v>
      </c>
      <c r="W48" s="47">
        <f t="shared" ref="W48:W49" si="19">+W6+W10+W14+W19+W23+W27+W32+W36+W41</f>
        <v>-4901.4680000000008</v>
      </c>
      <c r="X48" s="45">
        <v>-4906.75</v>
      </c>
      <c r="Y48" s="47">
        <f t="shared" ref="Y48:Y49" si="20">+Y6+Y10+Y14+Y19+Y23+Y27+Y32+Y36+Y41</f>
        <v>-7610.2180000000008</v>
      </c>
      <c r="Z48" s="45">
        <v>-4906.75</v>
      </c>
      <c r="AA48" s="47">
        <f t="shared" ref="AA48:AA49" si="21">+AA6+AA10+AA14+AA19+AA23+AA27+AA32+AA36+AA41</f>
        <v>-1833.6330000000003</v>
      </c>
      <c r="AB48" s="1"/>
      <c r="AC48" s="1"/>
    </row>
    <row r="49" spans="1:29" ht="15.75" customHeight="1" x14ac:dyDescent="0.2">
      <c r="A49" s="48" t="s">
        <v>59</v>
      </c>
      <c r="B49" s="1"/>
      <c r="C49" s="1">
        <f t="shared" si="9"/>
        <v>11891.055</v>
      </c>
      <c r="D49" s="48">
        <v>0</v>
      </c>
      <c r="E49" s="31">
        <f t="shared" si="10"/>
        <v>9909.380000000001</v>
      </c>
      <c r="F49" s="48">
        <v>0</v>
      </c>
      <c r="G49" s="31">
        <f t="shared" si="11"/>
        <v>2639.12</v>
      </c>
      <c r="H49" s="48">
        <v>0</v>
      </c>
      <c r="I49" s="31">
        <f t="shared" si="12"/>
        <v>17767.260000000002</v>
      </c>
      <c r="J49" s="48">
        <v>0</v>
      </c>
      <c r="K49" s="31">
        <f t="shared" si="13"/>
        <v>15161.3</v>
      </c>
      <c r="L49" s="48">
        <v>0</v>
      </c>
      <c r="M49" s="31">
        <f t="shared" si="14"/>
        <v>14985.24</v>
      </c>
      <c r="N49" s="48">
        <v>0</v>
      </c>
      <c r="O49" s="31">
        <f t="shared" si="15"/>
        <v>17971.009999999998</v>
      </c>
      <c r="P49" s="48">
        <v>0</v>
      </c>
      <c r="Q49" s="31">
        <f t="shared" si="16"/>
        <v>14016.45</v>
      </c>
      <c r="R49" s="48">
        <v>0</v>
      </c>
      <c r="S49" s="31">
        <f t="shared" si="17"/>
        <v>10333.029999999999</v>
      </c>
      <c r="T49" s="48">
        <v>0</v>
      </c>
      <c r="U49" s="31">
        <f t="shared" si="18"/>
        <v>12964.57</v>
      </c>
      <c r="V49" s="48">
        <v>0</v>
      </c>
      <c r="W49" s="31">
        <f t="shared" si="19"/>
        <v>6369.4400000000005</v>
      </c>
      <c r="X49" s="48">
        <v>0</v>
      </c>
      <c r="Y49" s="31">
        <f t="shared" si="20"/>
        <v>15742.14</v>
      </c>
      <c r="Z49" s="48">
        <v>0</v>
      </c>
      <c r="AA49" s="31">
        <f t="shared" si="21"/>
        <v>4833.72</v>
      </c>
      <c r="AB49" s="1"/>
      <c r="AC49" s="1"/>
    </row>
    <row r="50" spans="1:29" ht="15.75" customHeight="1" x14ac:dyDescent="0.2">
      <c r="A50" s="48" t="s">
        <v>59</v>
      </c>
      <c r="B50" s="1">
        <v>6360.4</v>
      </c>
      <c r="C50" s="1"/>
      <c r="D50" s="48">
        <v>9908.3799999999992</v>
      </c>
      <c r="E50" s="31">
        <f>+D50+E48</f>
        <v>4402.0909999999994</v>
      </c>
      <c r="F50" s="48">
        <v>2639.12</v>
      </c>
      <c r="G50" s="31">
        <f>+F50+G48</f>
        <v>1207.0320000000002</v>
      </c>
      <c r="H50" s="48">
        <v>15302.8</v>
      </c>
      <c r="I50" s="31">
        <f>+H50+I48</f>
        <v>7667.4049999999988</v>
      </c>
      <c r="J50" s="48">
        <v>15161</v>
      </c>
      <c r="K50" s="31">
        <f>+J50+K48</f>
        <v>8565.643</v>
      </c>
      <c r="L50" s="70">
        <v>14958.24</v>
      </c>
      <c r="M50" s="31">
        <f>+L50+M48</f>
        <v>7018.3639999999987</v>
      </c>
      <c r="N50" s="48">
        <v>17971.009999999998</v>
      </c>
      <c r="O50" s="31">
        <f>+N50+O48</f>
        <v>8826.4449999999997</v>
      </c>
      <c r="P50" s="48">
        <v>14016</v>
      </c>
      <c r="Q50" s="31">
        <f>+P50+Q48</f>
        <v>8980.9529999999995</v>
      </c>
      <c r="R50" s="48">
        <v>10333.030000000001</v>
      </c>
      <c r="S50" s="31">
        <f>+R50+S48</f>
        <v>4953.2360000000008</v>
      </c>
      <c r="T50" s="48">
        <v>12964.57</v>
      </c>
      <c r="U50" s="31">
        <f>+T50+U48</f>
        <v>7880.1369999999997</v>
      </c>
      <c r="V50" s="48">
        <v>6369.44</v>
      </c>
      <c r="W50" s="31">
        <f>+V50+W48</f>
        <v>1467.9719999999988</v>
      </c>
      <c r="X50" s="48">
        <v>15742.14</v>
      </c>
      <c r="Y50" s="31">
        <f>+X50+Y48</f>
        <v>8131.9219999999987</v>
      </c>
      <c r="Z50" s="48">
        <v>4560</v>
      </c>
      <c r="AA50" s="31">
        <f>+Z50+AA48</f>
        <v>2726.3669999999997</v>
      </c>
      <c r="AB50" s="1"/>
      <c r="AC50" s="1">
        <f>SUM(D50:Z50)</f>
        <v>209026.93000000002</v>
      </c>
    </row>
    <row r="51" spans="1:29" ht="15.75" customHeight="1" x14ac:dyDescent="0.2">
      <c r="A51" s="48" t="s">
        <v>60</v>
      </c>
      <c r="B51" s="1"/>
      <c r="C51" s="1">
        <f>+E52+G52+I52+K52+M52+O52</f>
        <v>14122.389999999996</v>
      </c>
      <c r="D51" s="4">
        <v>-3800</v>
      </c>
      <c r="E51" s="31">
        <v>-3800</v>
      </c>
      <c r="F51" s="48">
        <v>-3800</v>
      </c>
      <c r="G51" s="31">
        <v>-3800</v>
      </c>
      <c r="H51" s="48">
        <v>-3800</v>
      </c>
      <c r="I51" s="31">
        <v>-3800</v>
      </c>
      <c r="J51" s="48">
        <f>-3800-2988</f>
        <v>-6788</v>
      </c>
      <c r="K51" s="31">
        <v>-3800</v>
      </c>
      <c r="L51" s="48">
        <v>-3800</v>
      </c>
      <c r="M51" s="31">
        <v>-3800</v>
      </c>
      <c r="N51" s="48">
        <f>-3800-2807-11000</f>
        <v>-17607</v>
      </c>
      <c r="O51" s="31">
        <v>-3800</v>
      </c>
      <c r="P51" s="48">
        <f>-3800-5742.16-5890.88</f>
        <v>-15433.04</v>
      </c>
      <c r="Q51" s="31">
        <v>-3800</v>
      </c>
      <c r="R51" s="48">
        <f>-3800</f>
        <v>-3800</v>
      </c>
      <c r="S51" s="31">
        <v>-3800</v>
      </c>
      <c r="T51" s="48">
        <f>-3800-2700</f>
        <v>-6500</v>
      </c>
      <c r="U51" s="31">
        <v>-3800</v>
      </c>
      <c r="V51" s="48">
        <f>-3800-25000</f>
        <v>-28800</v>
      </c>
      <c r="W51" s="31">
        <v>-3800</v>
      </c>
      <c r="X51" s="48">
        <f>-3800-12000</f>
        <v>-15800</v>
      </c>
      <c r="Y51" s="31">
        <v>-3800</v>
      </c>
      <c r="Z51" s="48">
        <v>0</v>
      </c>
      <c r="AA51" s="31">
        <v>-3800</v>
      </c>
      <c r="AB51" s="1"/>
      <c r="AC51" s="1"/>
    </row>
    <row r="52" spans="1:29" ht="15.75" customHeight="1" x14ac:dyDescent="0.2">
      <c r="A52" s="49" t="s">
        <v>61</v>
      </c>
      <c r="B52" s="50">
        <v>8680.09</v>
      </c>
      <c r="C52" s="50" t="s">
        <v>99</v>
      </c>
      <c r="D52" s="49">
        <f>+B50+B52+D50+D49+D51+D48</f>
        <v>21148.87</v>
      </c>
      <c r="E52" s="98">
        <f>+E50+E51+E53</f>
        <v>-162.49900000000059</v>
      </c>
      <c r="F52" s="49">
        <f>+D52+F50+F49+F51+F48</f>
        <v>19987.989999999998</v>
      </c>
      <c r="G52" s="98">
        <f>+G50+G51</f>
        <v>-2592.9679999999998</v>
      </c>
      <c r="H52" s="49">
        <f>+F52+H50+H49+H51+H48</f>
        <v>31490.789999999994</v>
      </c>
      <c r="I52" s="37">
        <f>+I50+I51</f>
        <v>3867.4049999999988</v>
      </c>
      <c r="J52" s="49">
        <f>+H52+J50+J49+J51+J48</f>
        <v>39863.789999999994</v>
      </c>
      <c r="K52" s="37">
        <f>+K50+K51</f>
        <v>4765.643</v>
      </c>
      <c r="L52" s="49">
        <f>+J52+L50+L49+L51+L48</f>
        <v>51022.029999999992</v>
      </c>
      <c r="M52" s="37">
        <f>+M50+M51</f>
        <v>3218.3639999999987</v>
      </c>
      <c r="N52" s="49">
        <f>+L52+N50+N49+N51+N48</f>
        <v>51386.039999999994</v>
      </c>
      <c r="O52" s="37">
        <f>+O50+O51</f>
        <v>5026.4449999999997</v>
      </c>
      <c r="P52" s="49">
        <f>+N52+P50+P49+P51+P48</f>
        <v>49968.999999999993</v>
      </c>
      <c r="Q52" s="37">
        <f>+Q50+Q51</f>
        <v>5180.9529999999995</v>
      </c>
      <c r="R52" s="49">
        <f>+P52+R50+R49+R51+R48</f>
        <v>56502.029999999992</v>
      </c>
      <c r="S52" s="37">
        <f>+S50+S51</f>
        <v>1153.2360000000008</v>
      </c>
      <c r="T52" s="49">
        <f>+R52+T50+T49+T51+T48</f>
        <v>62966.599999999991</v>
      </c>
      <c r="U52" s="37">
        <f>+U50+U51</f>
        <v>4080.1369999999997</v>
      </c>
      <c r="V52" s="49">
        <f>+T52+V50+V49+V51+V48</f>
        <v>35629.289999999994</v>
      </c>
      <c r="W52" s="37">
        <f>+W50+W51</f>
        <v>-2332.0280000000012</v>
      </c>
      <c r="X52" s="49">
        <f>+V52+X50+X49+X51+X48</f>
        <v>30664.679999999993</v>
      </c>
      <c r="Y52" s="37">
        <f>+Y50+Y51</f>
        <v>4331.9219999999987</v>
      </c>
      <c r="Z52" s="49">
        <f>+X52+Z50+Z49+Z51+Z48</f>
        <v>30317.929999999993</v>
      </c>
      <c r="AA52" s="98">
        <f>+AA50+AA51</f>
        <v>-1073.6330000000003</v>
      </c>
      <c r="AB52" s="1"/>
      <c r="AC52" s="1">
        <f>+E52+G52+I52+K52+M52+O52+Q52+S52+U52+W52+Y52+AA52</f>
        <v>25462.976999999988</v>
      </c>
    </row>
    <row r="53" spans="1:29" ht="15.75" customHeight="1" x14ac:dyDescent="0.2">
      <c r="B53" s="6"/>
      <c r="D53" s="92" t="s">
        <v>165</v>
      </c>
      <c r="E53" s="93">
        <v>-764.59</v>
      </c>
      <c r="F53" s="92"/>
      <c r="G53" s="93"/>
      <c r="H53" s="92"/>
      <c r="I53" s="93"/>
      <c r="J53" s="92" t="s">
        <v>166</v>
      </c>
      <c r="K53" s="93"/>
      <c r="L53" s="92" t="s">
        <v>167</v>
      </c>
      <c r="M53" s="99"/>
      <c r="N53" s="92" t="s">
        <v>168</v>
      </c>
      <c r="O53" s="99"/>
      <c r="P53" s="100" t="s">
        <v>169</v>
      </c>
      <c r="Q53" s="92"/>
      <c r="R53" s="92"/>
      <c r="S53" s="99"/>
      <c r="T53" s="92" t="s">
        <v>168</v>
      </c>
      <c r="U53" s="99"/>
      <c r="V53" s="92"/>
      <c r="W53" s="99"/>
      <c r="X53" s="92" t="s">
        <v>170</v>
      </c>
      <c r="Y53" s="99"/>
      <c r="Z53" s="92" t="s">
        <v>168</v>
      </c>
      <c r="AA53" s="99"/>
    </row>
    <row r="54" spans="1:29" ht="15.75" customHeight="1" x14ac:dyDescent="0.2">
      <c r="A54" s="1">
        <f>+E52+G52+I52+K52+M52+O52+Q52+S52</f>
        <v>20456.578999999994</v>
      </c>
      <c r="B54" s="6"/>
      <c r="D54" s="92"/>
      <c r="E54" s="93"/>
      <c r="F54" s="92"/>
      <c r="G54" s="93"/>
      <c r="H54" s="101"/>
      <c r="I54" s="93"/>
      <c r="J54" s="92" t="s">
        <v>171</v>
      </c>
      <c r="K54" s="93"/>
      <c r="L54" s="92" t="s">
        <v>172</v>
      </c>
      <c r="M54" s="99"/>
      <c r="N54" s="92" t="s">
        <v>173</v>
      </c>
      <c r="O54" s="99"/>
      <c r="P54" s="92" t="s">
        <v>174</v>
      </c>
      <c r="Q54" s="99">
        <v>5742.16</v>
      </c>
      <c r="R54" s="92" t="s">
        <v>175</v>
      </c>
      <c r="S54" s="99"/>
      <c r="T54" s="92" t="s">
        <v>176</v>
      </c>
      <c r="U54" s="99"/>
      <c r="V54" s="102"/>
      <c r="W54" s="103"/>
      <c r="X54" s="92" t="s">
        <v>177</v>
      </c>
      <c r="Y54" s="104">
        <v>2455.23</v>
      </c>
      <c r="Z54" s="92" t="s">
        <v>178</v>
      </c>
      <c r="AA54" s="99"/>
    </row>
    <row r="55" spans="1:29" ht="15.75" customHeight="1" x14ac:dyDescent="0.2">
      <c r="B55" s="6"/>
      <c r="D55" s="92"/>
      <c r="E55" s="93"/>
      <c r="F55" s="92"/>
      <c r="G55" s="93"/>
      <c r="H55" s="101"/>
      <c r="I55" s="93"/>
      <c r="J55" s="92" t="s">
        <v>179</v>
      </c>
      <c r="K55" s="93"/>
      <c r="L55" s="92" t="s">
        <v>180</v>
      </c>
      <c r="M55" s="99"/>
      <c r="N55" s="92" t="s">
        <v>181</v>
      </c>
      <c r="O55" s="99"/>
      <c r="P55" s="92" t="s">
        <v>182</v>
      </c>
      <c r="Q55" s="99">
        <v>5890.88</v>
      </c>
      <c r="R55" s="92" t="s">
        <v>183</v>
      </c>
      <c r="S55" s="99"/>
      <c r="T55" s="92" t="s">
        <v>184</v>
      </c>
      <c r="U55" s="99"/>
      <c r="V55" s="102" t="s">
        <v>185</v>
      </c>
      <c r="W55" s="99"/>
      <c r="X55" s="92" t="s">
        <v>186</v>
      </c>
      <c r="Y55" s="99">
        <v>2549.9699999999998</v>
      </c>
      <c r="Z55" s="92" t="s">
        <v>177</v>
      </c>
      <c r="AA55" s="99">
        <v>2455.23</v>
      </c>
    </row>
    <row r="56" spans="1:29" ht="15.75" customHeight="1" x14ac:dyDescent="0.2">
      <c r="B56" s="6"/>
      <c r="D56" s="92"/>
      <c r="E56" s="93"/>
      <c r="F56" s="92"/>
      <c r="G56" s="93"/>
      <c r="H56" s="101"/>
      <c r="I56" s="93"/>
      <c r="J56" s="92" t="s">
        <v>187</v>
      </c>
      <c r="K56" s="93"/>
      <c r="L56" s="92"/>
      <c r="M56" s="99"/>
      <c r="N56" s="92" t="s">
        <v>188</v>
      </c>
      <c r="O56" s="99"/>
      <c r="P56" s="92"/>
      <c r="Q56" s="99"/>
      <c r="R56" s="92"/>
      <c r="S56" s="99"/>
      <c r="T56" s="100"/>
      <c r="U56" s="99"/>
      <c r="V56" s="102"/>
      <c r="W56" s="99"/>
      <c r="X56" s="92" t="s">
        <v>189</v>
      </c>
      <c r="Y56" s="99">
        <v>991.38</v>
      </c>
      <c r="Z56" s="92" t="s">
        <v>186</v>
      </c>
      <c r="AA56" s="99">
        <v>2549.9699999999998</v>
      </c>
    </row>
    <row r="57" spans="1:29" ht="15.75" customHeight="1" x14ac:dyDescent="0.2">
      <c r="B57" s="6"/>
      <c r="D57" s="92"/>
      <c r="E57" s="93"/>
      <c r="F57" s="92"/>
      <c r="G57" s="93"/>
      <c r="H57" s="101"/>
      <c r="I57" s="93"/>
      <c r="J57" s="92"/>
      <c r="K57" s="93"/>
      <c r="L57" s="92"/>
      <c r="M57" s="99"/>
      <c r="N57" s="101">
        <v>4317</v>
      </c>
      <c r="O57" s="99" t="s">
        <v>190</v>
      </c>
      <c r="P57" s="92"/>
      <c r="Q57" s="99"/>
      <c r="R57" s="92"/>
      <c r="S57" s="99"/>
      <c r="T57" s="92"/>
      <c r="U57" s="92" t="s">
        <v>191</v>
      </c>
      <c r="V57" s="102" t="s">
        <v>192</v>
      </c>
      <c r="W57" s="104">
        <v>4085.04</v>
      </c>
      <c r="X57" s="92" t="s">
        <v>193</v>
      </c>
      <c r="Y57" s="99">
        <v>9000</v>
      </c>
      <c r="Z57" s="92" t="s">
        <v>189</v>
      </c>
      <c r="AA57" s="103">
        <v>991.38</v>
      </c>
    </row>
    <row r="58" spans="1:29" ht="15.75" customHeight="1" x14ac:dyDescent="0.2">
      <c r="A58" s="1"/>
      <c r="B58" s="6"/>
      <c r="D58" s="105">
        <v>0</v>
      </c>
      <c r="E58" s="106"/>
      <c r="F58" s="105">
        <v>0</v>
      </c>
      <c r="G58" s="106"/>
      <c r="H58" s="105">
        <v>0</v>
      </c>
      <c r="I58" s="106"/>
      <c r="J58" s="105">
        <v>0</v>
      </c>
      <c r="K58" s="106"/>
      <c r="L58" s="105">
        <v>0</v>
      </c>
      <c r="M58" s="106"/>
      <c r="N58" s="105">
        <v>0</v>
      </c>
      <c r="O58" s="106"/>
      <c r="P58" s="105">
        <v>0</v>
      </c>
      <c r="Q58" s="106"/>
      <c r="R58" s="105">
        <v>0</v>
      </c>
      <c r="S58" s="106"/>
      <c r="T58" s="105">
        <v>0</v>
      </c>
      <c r="U58" s="106"/>
      <c r="V58" s="105">
        <v>0</v>
      </c>
      <c r="W58" s="106"/>
      <c r="X58" s="105"/>
      <c r="Y58" s="106"/>
      <c r="Z58" s="105"/>
      <c r="AA58" s="106">
        <f>SUM(AA55:AA57)</f>
        <v>5996.58</v>
      </c>
      <c r="AB58" s="1"/>
    </row>
    <row r="59" spans="1:29" ht="15.75" customHeight="1" x14ac:dyDescent="0.2"/>
    <row r="60" spans="1:29" ht="15.75" customHeight="1" x14ac:dyDescent="0.2"/>
    <row r="61" spans="1:29" ht="15.75" customHeight="1" x14ac:dyDescent="0.2">
      <c r="W61" s="4" t="s">
        <v>194</v>
      </c>
    </row>
    <row r="62" spans="1:29" ht="15.75" customHeight="1" x14ac:dyDescent="0.2">
      <c r="R62" s="4" t="s">
        <v>195</v>
      </c>
    </row>
    <row r="63" spans="1:29" ht="15.75" customHeight="1" x14ac:dyDescent="0.2">
      <c r="R63" s="4" t="s">
        <v>116</v>
      </c>
      <c r="W63" s="3"/>
    </row>
    <row r="64" spans="1:29" ht="15.75" customHeight="1" x14ac:dyDescent="0.2">
      <c r="M64" s="2"/>
      <c r="N64" s="6"/>
      <c r="O64" s="6"/>
      <c r="R64" s="4" t="s">
        <v>122</v>
      </c>
      <c r="W64" s="3"/>
    </row>
    <row r="65" spans="12:30" ht="15.75" customHeight="1" x14ac:dyDescent="0.2">
      <c r="M65" s="2"/>
      <c r="N65" s="6"/>
      <c r="O65" s="6"/>
      <c r="R65" s="1">
        <v>1089.8800000000001</v>
      </c>
      <c r="V65" s="1"/>
      <c r="W65" s="3"/>
    </row>
    <row r="66" spans="12:30" ht="15.75" customHeight="1" x14ac:dyDescent="0.2">
      <c r="M66" s="2"/>
      <c r="N66" s="6"/>
      <c r="O66" s="6"/>
      <c r="R66" s="1"/>
      <c r="V66" s="1"/>
      <c r="W66" s="3"/>
    </row>
    <row r="67" spans="12:30" ht="15.75" customHeight="1" x14ac:dyDescent="0.2">
      <c r="M67" s="2"/>
      <c r="N67" s="6"/>
      <c r="P67" s="6"/>
      <c r="R67" s="4" t="s">
        <v>126</v>
      </c>
      <c r="W67" s="3"/>
    </row>
    <row r="68" spans="12:30" ht="15.75" customHeight="1" x14ac:dyDescent="0.2">
      <c r="M68" s="2"/>
      <c r="N68" s="6"/>
      <c r="O68" s="6"/>
      <c r="R68" s="1">
        <v>5890.88</v>
      </c>
      <c r="V68" s="1"/>
      <c r="W68" s="3"/>
    </row>
    <row r="69" spans="12:30" ht="15.75" customHeight="1" x14ac:dyDescent="0.2">
      <c r="M69" s="2"/>
      <c r="N69" s="6"/>
      <c r="O69" s="6"/>
    </row>
    <row r="70" spans="12:30" ht="15.75" customHeight="1" x14ac:dyDescent="0.2">
      <c r="L70" s="1"/>
      <c r="M70" s="2"/>
      <c r="N70" s="6"/>
      <c r="O70" s="6"/>
    </row>
    <row r="71" spans="12:30" ht="15.75" customHeight="1" x14ac:dyDescent="0.2">
      <c r="L71" s="1"/>
      <c r="M71" s="2"/>
      <c r="N71" s="6"/>
      <c r="O71" s="6"/>
    </row>
    <row r="72" spans="12:30" ht="15.75" customHeight="1" x14ac:dyDescent="0.2">
      <c r="L72" s="1"/>
      <c r="M72" s="88"/>
      <c r="O72" s="6"/>
    </row>
    <row r="73" spans="12:30" ht="15.75" customHeight="1" x14ac:dyDescent="0.2">
      <c r="L73" s="1"/>
      <c r="M73" s="1"/>
      <c r="O73" s="6"/>
    </row>
    <row r="74" spans="12:30" ht="15.75" customHeight="1" x14ac:dyDescent="0.2">
      <c r="L74" s="1" t="s">
        <v>196</v>
      </c>
      <c r="M74" s="1"/>
      <c r="O74" s="6"/>
      <c r="T74" s="4" t="s">
        <v>197</v>
      </c>
      <c r="Z74" s="4" t="s">
        <v>198</v>
      </c>
    </row>
    <row r="75" spans="12:30" ht="15.75" customHeight="1" x14ac:dyDescent="0.2">
      <c r="L75" s="4" t="s">
        <v>199</v>
      </c>
      <c r="T75" s="4" t="s">
        <v>200</v>
      </c>
      <c r="Z75" s="4" t="s">
        <v>201</v>
      </c>
    </row>
    <row r="76" spans="12:30" ht="15.75" customHeight="1" x14ac:dyDescent="0.2">
      <c r="L76" s="4" t="s">
        <v>202</v>
      </c>
      <c r="P76" s="4" t="s">
        <v>121</v>
      </c>
      <c r="T76" s="4" t="s">
        <v>203</v>
      </c>
      <c r="X76" s="4" t="s">
        <v>121</v>
      </c>
      <c r="Z76" s="4" t="s">
        <v>204</v>
      </c>
      <c r="AD76" s="4" t="s">
        <v>121</v>
      </c>
    </row>
    <row r="77" spans="12:30" ht="15.75" customHeight="1" x14ac:dyDescent="0.2">
      <c r="L77" s="4">
        <v>12</v>
      </c>
      <c r="M77" s="2">
        <f>5520</f>
        <v>5520</v>
      </c>
      <c r="N77" s="6">
        <v>0.90300000000000002</v>
      </c>
      <c r="O77" s="6">
        <f t="shared" ref="O77:O84" si="22">+M77*N77</f>
        <v>4984.5600000000004</v>
      </c>
      <c r="P77" s="4">
        <f>+M77/240</f>
        <v>23</v>
      </c>
      <c r="T77" s="4">
        <v>12</v>
      </c>
      <c r="U77" s="2">
        <v>8400</v>
      </c>
      <c r="V77" s="6">
        <v>0.90300000000000002</v>
      </c>
      <c r="W77" s="6">
        <f t="shared" ref="W77:W84" si="23">+U77*V77</f>
        <v>7585.2</v>
      </c>
      <c r="X77" s="4">
        <f>+U77/240</f>
        <v>35</v>
      </c>
      <c r="Z77" s="4">
        <v>12</v>
      </c>
      <c r="AA77" s="2">
        <v>4560</v>
      </c>
      <c r="AB77" s="6">
        <v>0.90300000000000002</v>
      </c>
      <c r="AC77" s="6">
        <f t="shared" ref="AC77:AC84" si="24">+AA77*AB77</f>
        <v>4117.68</v>
      </c>
      <c r="AD77" s="4">
        <f>+AA77/240</f>
        <v>19</v>
      </c>
    </row>
    <row r="78" spans="12:30" ht="15.75" customHeight="1" x14ac:dyDescent="0.2">
      <c r="L78" s="4">
        <v>8</v>
      </c>
      <c r="M78" s="2">
        <f>5040</f>
        <v>5040</v>
      </c>
      <c r="N78" s="6">
        <v>0.65500000000000003</v>
      </c>
      <c r="O78" s="6">
        <f t="shared" si="22"/>
        <v>3301.2000000000003</v>
      </c>
      <c r="P78" s="4">
        <f>+M78/360</f>
        <v>14</v>
      </c>
      <c r="T78" s="4">
        <v>8</v>
      </c>
      <c r="U78" s="2">
        <v>1440</v>
      </c>
      <c r="V78" s="6">
        <v>0.65500000000000003</v>
      </c>
      <c r="W78" s="6">
        <f t="shared" si="23"/>
        <v>943.2</v>
      </c>
      <c r="X78" s="4">
        <f>+U78/360</f>
        <v>4</v>
      </c>
      <c r="Z78" s="4">
        <v>8</v>
      </c>
      <c r="AA78" s="2">
        <v>3600</v>
      </c>
      <c r="AB78" s="6">
        <v>0.65500000000000003</v>
      </c>
      <c r="AC78" s="6">
        <f t="shared" si="24"/>
        <v>2358</v>
      </c>
      <c r="AD78" s="4">
        <f>+AA78/360</f>
        <v>10</v>
      </c>
    </row>
    <row r="79" spans="12:30" ht="15.75" customHeight="1" x14ac:dyDescent="0.2">
      <c r="L79" s="4">
        <v>6</v>
      </c>
      <c r="M79" s="2">
        <v>720</v>
      </c>
      <c r="N79" s="6">
        <v>0.52800000000000002</v>
      </c>
      <c r="O79" s="6">
        <f t="shared" si="22"/>
        <v>380.16</v>
      </c>
      <c r="P79" s="4">
        <f t="shared" ref="P79:P80" si="25">+M79/240</f>
        <v>3</v>
      </c>
      <c r="T79" s="4">
        <v>6</v>
      </c>
      <c r="U79" s="2">
        <v>720</v>
      </c>
      <c r="V79" s="6">
        <v>0.52800000000000002</v>
      </c>
      <c r="W79" s="6">
        <f t="shared" si="23"/>
        <v>380.16</v>
      </c>
      <c r="X79" s="4">
        <f t="shared" ref="X79:X80" si="26">+U79/240</f>
        <v>3</v>
      </c>
      <c r="Z79" s="4">
        <v>6</v>
      </c>
      <c r="AA79" s="2">
        <v>0</v>
      </c>
      <c r="AB79" s="6">
        <v>0.52800000000000002</v>
      </c>
      <c r="AC79" s="6">
        <f t="shared" si="24"/>
        <v>0</v>
      </c>
      <c r="AD79" s="4">
        <f t="shared" ref="AD79:AD80" si="27">+AA79/240</f>
        <v>0</v>
      </c>
    </row>
    <row r="80" spans="12:30" ht="15.75" customHeight="1" x14ac:dyDescent="0.2">
      <c r="L80" s="4" t="s">
        <v>128</v>
      </c>
      <c r="M80" s="2">
        <v>2160</v>
      </c>
      <c r="N80" s="6">
        <v>0.81</v>
      </c>
      <c r="O80" s="6">
        <f t="shared" si="22"/>
        <v>1749.6000000000001</v>
      </c>
      <c r="P80" s="4">
        <f t="shared" si="25"/>
        <v>9</v>
      </c>
      <c r="T80" s="4" t="s">
        <v>128</v>
      </c>
      <c r="U80" s="2">
        <v>1440</v>
      </c>
      <c r="V80" s="6">
        <v>0.81</v>
      </c>
      <c r="W80" s="6">
        <f t="shared" si="23"/>
        <v>1166.4000000000001</v>
      </c>
      <c r="X80" s="4">
        <f t="shared" si="26"/>
        <v>6</v>
      </c>
      <c r="Z80" s="4" t="s">
        <v>128</v>
      </c>
      <c r="AA80" s="2">
        <v>1680</v>
      </c>
      <c r="AB80" s="6">
        <v>0.81</v>
      </c>
      <c r="AC80" s="6">
        <f t="shared" si="24"/>
        <v>1360.8000000000002</v>
      </c>
      <c r="AD80" s="4">
        <f t="shared" si="27"/>
        <v>7</v>
      </c>
    </row>
    <row r="81" spans="12:31" ht="15.75" customHeight="1" x14ac:dyDescent="0.2">
      <c r="L81" s="4" t="s">
        <v>130</v>
      </c>
      <c r="M81" s="2">
        <v>1080</v>
      </c>
      <c r="N81" s="6">
        <v>0.55500000000000005</v>
      </c>
      <c r="O81" s="6">
        <f t="shared" si="22"/>
        <v>599.40000000000009</v>
      </c>
      <c r="P81" s="4">
        <f t="shared" ref="P81:P82" si="28">+M81/360</f>
        <v>3</v>
      </c>
      <c r="T81" s="4" t="s">
        <v>130</v>
      </c>
      <c r="U81" s="2">
        <v>720</v>
      </c>
      <c r="V81" s="6">
        <v>0.55500000000000005</v>
      </c>
      <c r="W81" s="6">
        <f t="shared" si="23"/>
        <v>399.6</v>
      </c>
      <c r="X81" s="4">
        <f t="shared" ref="X81:X82" si="29">+U81/360</f>
        <v>2</v>
      </c>
      <c r="Z81" s="4" t="s">
        <v>130</v>
      </c>
      <c r="AA81" s="2">
        <v>360</v>
      </c>
      <c r="AB81" s="6">
        <v>0.55500000000000005</v>
      </c>
      <c r="AC81" s="6">
        <f t="shared" si="24"/>
        <v>199.8</v>
      </c>
      <c r="AD81" s="4">
        <f t="shared" ref="AD81:AD82" si="30">+AA81/360</f>
        <v>1</v>
      </c>
    </row>
    <row r="82" spans="12:31" ht="15.75" customHeight="1" x14ac:dyDescent="0.2">
      <c r="L82" s="4" t="s">
        <v>132</v>
      </c>
      <c r="M82" s="2">
        <v>0</v>
      </c>
      <c r="N82" s="6">
        <v>0</v>
      </c>
      <c r="O82" s="6">
        <f t="shared" si="22"/>
        <v>0</v>
      </c>
      <c r="P82" s="4">
        <f t="shared" si="28"/>
        <v>0</v>
      </c>
      <c r="T82" s="4" t="s">
        <v>132</v>
      </c>
      <c r="U82" s="2">
        <v>0</v>
      </c>
      <c r="V82" s="6">
        <v>0</v>
      </c>
      <c r="W82" s="6">
        <f t="shared" si="23"/>
        <v>0</v>
      </c>
      <c r="X82" s="4">
        <f t="shared" si="29"/>
        <v>0</v>
      </c>
      <c r="Z82" s="4" t="s">
        <v>132</v>
      </c>
      <c r="AA82" s="2">
        <v>360</v>
      </c>
      <c r="AB82" s="6">
        <v>0.377</v>
      </c>
      <c r="AC82" s="6">
        <f t="shared" si="24"/>
        <v>135.72</v>
      </c>
      <c r="AD82" s="4">
        <f t="shared" si="30"/>
        <v>1</v>
      </c>
    </row>
    <row r="83" spans="12:31" ht="15.75" customHeight="1" x14ac:dyDescent="0.2">
      <c r="L83" s="1" t="s">
        <v>134</v>
      </c>
      <c r="M83" s="2">
        <v>1920</v>
      </c>
      <c r="N83" s="6">
        <v>0.85199999999999998</v>
      </c>
      <c r="O83" s="6">
        <f t="shared" si="22"/>
        <v>1635.84</v>
      </c>
      <c r="P83" s="4">
        <f>+M83/240</f>
        <v>8</v>
      </c>
      <c r="T83" s="1" t="s">
        <v>134</v>
      </c>
      <c r="U83" s="2">
        <v>2160</v>
      </c>
      <c r="V83" s="6">
        <v>0.85199999999999998</v>
      </c>
      <c r="W83" s="6">
        <f t="shared" si="23"/>
        <v>1840.32</v>
      </c>
      <c r="X83" s="4">
        <f>+U83/240</f>
        <v>9</v>
      </c>
      <c r="Z83" s="1" t="s">
        <v>134</v>
      </c>
      <c r="AA83" s="2">
        <v>1200</v>
      </c>
      <c r="AB83" s="6">
        <v>0.85199999999999998</v>
      </c>
      <c r="AC83" s="6">
        <f t="shared" si="24"/>
        <v>1022.4</v>
      </c>
      <c r="AD83" s="4">
        <f>+AA83/240</f>
        <v>5</v>
      </c>
    </row>
    <row r="84" spans="12:31" ht="15.75" customHeight="1" x14ac:dyDescent="0.2">
      <c r="L84" s="1" t="s">
        <v>11</v>
      </c>
      <c r="M84" s="2">
        <v>1080</v>
      </c>
      <c r="N84" s="6">
        <v>1.1180000000000001</v>
      </c>
      <c r="O84" s="6">
        <f t="shared" si="22"/>
        <v>1207.44</v>
      </c>
      <c r="P84" s="4">
        <f>+M84/120</f>
        <v>9</v>
      </c>
      <c r="T84" s="1" t="s">
        <v>11</v>
      </c>
      <c r="U84" s="2">
        <v>3960</v>
      </c>
      <c r="V84" s="6">
        <v>1.1180000000000001</v>
      </c>
      <c r="W84" s="6">
        <f t="shared" si="23"/>
        <v>4427.2800000000007</v>
      </c>
      <c r="X84" s="4">
        <f>+U84/120</f>
        <v>33</v>
      </c>
      <c r="Z84" s="1" t="s">
        <v>11</v>
      </c>
      <c r="AA84" s="2">
        <v>3480</v>
      </c>
      <c r="AB84" s="6">
        <v>1.1180000000000001</v>
      </c>
      <c r="AC84" s="6">
        <f t="shared" si="24"/>
        <v>3890.6400000000003</v>
      </c>
      <c r="AD84" s="4">
        <f>+AA84/120</f>
        <v>29</v>
      </c>
    </row>
    <row r="85" spans="12:31" ht="15.75" customHeight="1" x14ac:dyDescent="0.2">
      <c r="L85" s="1"/>
      <c r="M85" s="88">
        <f>SUM(M77:M84)</f>
        <v>17520</v>
      </c>
      <c r="O85" s="6">
        <f t="shared" ref="O85:P85" si="31">SUM(O77:O84)</f>
        <v>13858.2</v>
      </c>
      <c r="P85" s="4">
        <f t="shared" si="31"/>
        <v>69</v>
      </c>
      <c r="T85" s="1"/>
      <c r="U85" s="88">
        <f>SUM(U77:U84)</f>
        <v>18840</v>
      </c>
      <c r="W85" s="6">
        <f t="shared" ref="W85:X85" si="32">SUM(W77:W84)</f>
        <v>16742.16</v>
      </c>
      <c r="X85" s="4">
        <f t="shared" si="32"/>
        <v>92</v>
      </c>
      <c r="Z85" s="1"/>
      <c r="AA85" s="88">
        <f>SUM(AA77:AA84)</f>
        <v>15240</v>
      </c>
      <c r="AC85" s="6">
        <f t="shared" ref="AC85:AD85" si="33">SUM(AC77:AC84)</f>
        <v>13085.04</v>
      </c>
      <c r="AD85" s="4">
        <f t="shared" si="33"/>
        <v>72</v>
      </c>
    </row>
    <row r="86" spans="12:31" ht="15.75" customHeight="1" x14ac:dyDescent="0.2">
      <c r="L86" s="1"/>
      <c r="M86" s="1"/>
      <c r="N86" s="4" t="s">
        <v>137</v>
      </c>
      <c r="O86" s="6">
        <v>4185.05</v>
      </c>
      <c r="T86" s="1"/>
      <c r="U86" s="1"/>
      <c r="V86" s="4" t="s">
        <v>137</v>
      </c>
      <c r="W86" s="6">
        <f>+W85*0.3</f>
        <v>5022.6480000000001</v>
      </c>
      <c r="Z86" s="1"/>
      <c r="AA86" s="1"/>
      <c r="AB86" s="4" t="s">
        <v>137</v>
      </c>
      <c r="AC86" s="107">
        <v>4085.04</v>
      </c>
      <c r="AE86" s="108" t="s">
        <v>205</v>
      </c>
    </row>
    <row r="87" spans="12:31" ht="15.75" customHeight="1" x14ac:dyDescent="0.2">
      <c r="L87" s="1"/>
      <c r="M87" s="1"/>
      <c r="N87" s="4" t="s">
        <v>139</v>
      </c>
      <c r="O87" s="6">
        <f>+O85-O86</f>
        <v>9673.1500000000015</v>
      </c>
      <c r="T87" s="1"/>
      <c r="U87" s="1"/>
      <c r="V87" s="4" t="s">
        <v>139</v>
      </c>
      <c r="W87" s="6">
        <f>+W85-W86</f>
        <v>11719.511999999999</v>
      </c>
      <c r="Z87" s="1"/>
      <c r="AA87" s="1"/>
      <c r="AB87" s="4" t="s">
        <v>139</v>
      </c>
      <c r="AC87" s="6">
        <f>+AC85-AC86</f>
        <v>9000</v>
      </c>
      <c r="AE87" s="108" t="s">
        <v>205</v>
      </c>
    </row>
    <row r="88" spans="12:31" ht="15.75" customHeight="1" x14ac:dyDescent="0.2">
      <c r="AB88" s="4" t="s">
        <v>206</v>
      </c>
      <c r="AC88" s="4">
        <v>4000</v>
      </c>
    </row>
    <row r="89" spans="12:31" ht="15.75" customHeight="1" x14ac:dyDescent="0.2">
      <c r="L89" s="4" t="s">
        <v>207</v>
      </c>
    </row>
    <row r="90" spans="12:31" ht="15.75" customHeight="1" x14ac:dyDescent="0.2">
      <c r="L90" s="4" t="s">
        <v>208</v>
      </c>
      <c r="N90" s="1">
        <v>85</v>
      </c>
    </row>
    <row r="91" spans="12:31" ht="15.75" customHeight="1" x14ac:dyDescent="0.2">
      <c r="L91" s="4" t="s">
        <v>209</v>
      </c>
      <c r="N91" s="1">
        <v>4314.72</v>
      </c>
    </row>
    <row r="92" spans="12:31" ht="15.75" customHeight="1" x14ac:dyDescent="0.2">
      <c r="N92" s="1">
        <f>SUM(N90:N91)</f>
        <v>4399.72</v>
      </c>
    </row>
    <row r="93" spans="12:31" ht="15.75" customHeight="1" x14ac:dyDescent="0.2">
      <c r="L93" s="4" t="s">
        <v>210</v>
      </c>
      <c r="N93" s="109">
        <f>+N92/N106</f>
        <v>2.4248897707231043E-2</v>
      </c>
    </row>
    <row r="94" spans="12:31" ht="15.75" customHeight="1" x14ac:dyDescent="0.2">
      <c r="N94" s="1"/>
    </row>
    <row r="95" spans="12:31" ht="15.75" customHeight="1" x14ac:dyDescent="0.2">
      <c r="N95" s="1"/>
    </row>
    <row r="96" spans="12:31" ht="15.75" customHeight="1" x14ac:dyDescent="0.2">
      <c r="O96" s="4" t="s">
        <v>211</v>
      </c>
      <c r="P96" s="4" t="s">
        <v>212</v>
      </c>
      <c r="Q96" s="4" t="s">
        <v>213</v>
      </c>
    </row>
    <row r="97" spans="12:17" ht="15.75" customHeight="1" x14ac:dyDescent="0.2">
      <c r="L97" s="4" t="s">
        <v>214</v>
      </c>
      <c r="O97" s="4" t="s">
        <v>215</v>
      </c>
      <c r="Q97" s="4" t="s">
        <v>1</v>
      </c>
    </row>
    <row r="98" spans="12:17" ht="15.75" customHeight="1" x14ac:dyDescent="0.2">
      <c r="L98" s="4">
        <v>12</v>
      </c>
      <c r="M98" s="4">
        <v>5520</v>
      </c>
      <c r="N98" s="4">
        <f t="shared" ref="N98:N105" si="34">+L98*M98</f>
        <v>66240</v>
      </c>
      <c r="O98" s="6">
        <f>(+N93*N98)/M98</f>
        <v>0.29098677248677252</v>
      </c>
      <c r="P98" s="4">
        <v>0.90300000000000002</v>
      </c>
      <c r="Q98" s="110">
        <f t="shared" ref="Q98:Q105" si="35">+O98+P98</f>
        <v>1.1939867724867725</v>
      </c>
    </row>
    <row r="99" spans="12:17" ht="15.75" customHeight="1" x14ac:dyDescent="0.2">
      <c r="L99" s="4">
        <v>8</v>
      </c>
      <c r="M99" s="4">
        <v>5040</v>
      </c>
      <c r="N99" s="4">
        <f t="shared" si="34"/>
        <v>40320</v>
      </c>
      <c r="O99" s="6">
        <f>(+N93*N99)/M99</f>
        <v>0.19399118165784834</v>
      </c>
      <c r="P99" s="4">
        <v>0.65500000000000003</v>
      </c>
      <c r="Q99" s="110">
        <f t="shared" si="35"/>
        <v>0.84899118165784837</v>
      </c>
    </row>
    <row r="100" spans="12:17" ht="15.75" customHeight="1" x14ac:dyDescent="0.2">
      <c r="L100" s="4">
        <v>6</v>
      </c>
      <c r="M100" s="4">
        <v>720</v>
      </c>
      <c r="N100" s="4">
        <f t="shared" si="34"/>
        <v>4320</v>
      </c>
      <c r="O100" s="6">
        <f>(+N93*N100)/M100</f>
        <v>0.14549338624338626</v>
      </c>
      <c r="P100" s="4">
        <v>0.52800000000000002</v>
      </c>
      <c r="Q100" s="110">
        <f t="shared" si="35"/>
        <v>0.67349338624338628</v>
      </c>
    </row>
    <row r="101" spans="12:17" ht="15.75" customHeight="1" x14ac:dyDescent="0.2">
      <c r="L101" s="4">
        <v>12</v>
      </c>
      <c r="M101" s="4">
        <v>2160</v>
      </c>
      <c r="N101" s="4">
        <f t="shared" si="34"/>
        <v>25920</v>
      </c>
      <c r="O101" s="6">
        <f>(+N93*N101)/M101</f>
        <v>0.29098677248677252</v>
      </c>
      <c r="P101" s="4">
        <v>0.81</v>
      </c>
      <c r="Q101" s="110">
        <f t="shared" si="35"/>
        <v>1.1009867724867726</v>
      </c>
    </row>
    <row r="102" spans="12:17" ht="15.75" customHeight="1" x14ac:dyDescent="0.2">
      <c r="L102" s="4">
        <v>8</v>
      </c>
      <c r="M102" s="4">
        <v>1080</v>
      </c>
      <c r="N102" s="4">
        <f t="shared" si="34"/>
        <v>8640</v>
      </c>
      <c r="O102" s="6">
        <f>(+N93*N102)/M102</f>
        <v>0.19399118165784834</v>
      </c>
      <c r="P102" s="4">
        <v>0.55500000000000005</v>
      </c>
      <c r="Q102" s="110">
        <f t="shared" si="35"/>
        <v>0.74899118165784839</v>
      </c>
    </row>
    <row r="103" spans="12:17" ht="15.75" customHeight="1" x14ac:dyDescent="0.2">
      <c r="L103" s="4">
        <v>6</v>
      </c>
      <c r="M103" s="4">
        <v>0</v>
      </c>
      <c r="N103" s="4">
        <f t="shared" si="34"/>
        <v>0</v>
      </c>
      <c r="O103" s="6" t="e">
        <f>(+N98*N103)/M103</f>
        <v>#DIV/0!</v>
      </c>
      <c r="P103" s="4">
        <v>0</v>
      </c>
      <c r="Q103" s="110" t="e">
        <f t="shared" si="35"/>
        <v>#DIV/0!</v>
      </c>
    </row>
    <row r="104" spans="12:17" ht="15.75" customHeight="1" x14ac:dyDescent="0.2">
      <c r="L104" s="4">
        <v>12</v>
      </c>
      <c r="M104" s="4">
        <v>1920</v>
      </c>
      <c r="N104" s="4">
        <f t="shared" si="34"/>
        <v>23040</v>
      </c>
      <c r="O104" s="6">
        <f>(+N93*N104)/M104</f>
        <v>0.29098677248677252</v>
      </c>
      <c r="P104" s="4">
        <v>0.85199999999999998</v>
      </c>
      <c r="Q104" s="110">
        <f t="shared" si="35"/>
        <v>1.1429867724867724</v>
      </c>
    </row>
    <row r="105" spans="12:17" ht="15.75" customHeight="1" x14ac:dyDescent="0.2">
      <c r="L105" s="4">
        <v>12</v>
      </c>
      <c r="M105" s="4">
        <v>1080</v>
      </c>
      <c r="N105" s="4">
        <f t="shared" si="34"/>
        <v>12960</v>
      </c>
      <c r="O105" s="6">
        <f>(+N93*N105)/M105</f>
        <v>0.29098677248677252</v>
      </c>
      <c r="P105" s="4">
        <v>1.1180000000000001</v>
      </c>
      <c r="Q105" s="110">
        <f t="shared" si="35"/>
        <v>1.4089867724867726</v>
      </c>
    </row>
    <row r="106" spans="12:17" ht="15.75" customHeight="1" x14ac:dyDescent="0.2">
      <c r="N106" s="4">
        <f>SUM(N98:N105)</f>
        <v>181440</v>
      </c>
    </row>
    <row r="107" spans="12:17" ht="15.75" customHeight="1" x14ac:dyDescent="0.2"/>
    <row r="108" spans="12:17" ht="15.75" customHeight="1" x14ac:dyDescent="0.2"/>
    <row r="109" spans="12:17" ht="15.75" customHeight="1" x14ac:dyDescent="0.2"/>
    <row r="110" spans="12:17" ht="15.75" customHeight="1" x14ac:dyDescent="0.2"/>
    <row r="111" spans="12:17" ht="15.75" customHeight="1" x14ac:dyDescent="0.2">
      <c r="O111" s="6"/>
      <c r="Q111" s="110"/>
    </row>
    <row r="112" spans="12:17" ht="15.75" customHeight="1" x14ac:dyDescent="0.2">
      <c r="O112" s="6"/>
      <c r="Q112" s="110"/>
    </row>
    <row r="113" spans="12:17" ht="15.75" customHeight="1" x14ac:dyDescent="0.2">
      <c r="O113" s="6"/>
      <c r="Q113" s="110"/>
    </row>
    <row r="114" spans="12:17" ht="15.75" customHeight="1" x14ac:dyDescent="0.2">
      <c r="O114" s="6"/>
      <c r="Q114" s="110"/>
    </row>
    <row r="115" spans="12:17" ht="15.75" customHeight="1" x14ac:dyDescent="0.2">
      <c r="O115" s="6"/>
      <c r="Q115" s="110"/>
    </row>
    <row r="116" spans="12:17" ht="15.75" customHeight="1" x14ac:dyDescent="0.2">
      <c r="O116" s="6"/>
      <c r="Q116" s="110"/>
    </row>
    <row r="117" spans="12:17" ht="15.75" customHeight="1" x14ac:dyDescent="0.2">
      <c r="O117" s="6"/>
      <c r="Q117" s="110"/>
    </row>
    <row r="118" spans="12:17" ht="15.75" customHeight="1" x14ac:dyDescent="0.2">
      <c r="M118" s="4" t="s">
        <v>216</v>
      </c>
      <c r="N118" s="4">
        <v>1000</v>
      </c>
      <c r="O118" s="6"/>
      <c r="Q118" s="110"/>
    </row>
    <row r="119" spans="12:17" ht="15.75" customHeight="1" x14ac:dyDescent="0.2"/>
    <row r="120" spans="12:17" ht="15.75" customHeight="1" x14ac:dyDescent="0.2"/>
    <row r="121" spans="12:17" ht="15.75" customHeight="1" x14ac:dyDescent="0.2"/>
    <row r="122" spans="12:17" ht="15.75" customHeight="1" x14ac:dyDescent="0.2">
      <c r="L122" s="4" t="s">
        <v>214</v>
      </c>
    </row>
    <row r="123" spans="12:17" ht="15.75" customHeight="1" x14ac:dyDescent="0.2">
      <c r="L123" s="4">
        <v>12</v>
      </c>
      <c r="M123" s="4">
        <v>1653</v>
      </c>
      <c r="N123" s="4">
        <f t="shared" ref="N123:N131" si="36">+L123*M123</f>
        <v>19836</v>
      </c>
      <c r="O123" s="6">
        <f>+N134*L123</f>
        <v>0.22054769343870612</v>
      </c>
      <c r="P123" s="1">
        <f t="shared" ref="P123:P131" si="37">+O123*M123</f>
        <v>364.5653372541812</v>
      </c>
    </row>
    <row r="124" spans="12:17" ht="15.75" customHeight="1" x14ac:dyDescent="0.2">
      <c r="L124" s="4">
        <v>8</v>
      </c>
      <c r="M124" s="4">
        <v>782</v>
      </c>
      <c r="N124" s="4">
        <f t="shared" si="36"/>
        <v>6256</v>
      </c>
      <c r="O124" s="6">
        <f>+N134*L124</f>
        <v>0.14703179562580407</v>
      </c>
      <c r="P124" s="1">
        <f t="shared" si="37"/>
        <v>114.97886417937877</v>
      </c>
    </row>
    <row r="125" spans="12:17" ht="15.75" customHeight="1" x14ac:dyDescent="0.2">
      <c r="L125" s="4">
        <v>6</v>
      </c>
      <c r="M125" s="4">
        <v>226</v>
      </c>
      <c r="N125" s="4">
        <f t="shared" si="36"/>
        <v>1356</v>
      </c>
      <c r="O125" s="6">
        <f>+N134*L125</f>
        <v>0.11027384671935306</v>
      </c>
      <c r="P125" s="1">
        <f t="shared" si="37"/>
        <v>24.92188935857379</v>
      </c>
    </row>
    <row r="126" spans="12:17" ht="15.75" customHeight="1" x14ac:dyDescent="0.2">
      <c r="L126" s="4">
        <v>12</v>
      </c>
      <c r="M126" s="4">
        <v>514</v>
      </c>
      <c r="N126" s="4">
        <f t="shared" si="36"/>
        <v>6168</v>
      </c>
      <c r="O126" s="6">
        <f>+N134*L126</f>
        <v>0.22054769343870612</v>
      </c>
      <c r="P126" s="1">
        <f t="shared" si="37"/>
        <v>113.36151442749494</v>
      </c>
    </row>
    <row r="127" spans="12:17" ht="15.75" customHeight="1" x14ac:dyDescent="0.2">
      <c r="L127" s="4">
        <v>8</v>
      </c>
      <c r="M127" s="4">
        <v>186</v>
      </c>
      <c r="N127" s="4">
        <f t="shared" si="36"/>
        <v>1488</v>
      </c>
      <c r="O127" s="6">
        <f>+N134*L127</f>
        <v>0.14703179562580407</v>
      </c>
      <c r="P127" s="1">
        <f t="shared" si="37"/>
        <v>27.347913986399558</v>
      </c>
    </row>
    <row r="128" spans="12:17" ht="15.75" customHeight="1" x14ac:dyDescent="0.2">
      <c r="L128" s="4">
        <v>6</v>
      </c>
      <c r="M128" s="4">
        <v>29</v>
      </c>
      <c r="N128" s="4">
        <f t="shared" si="36"/>
        <v>174</v>
      </c>
      <c r="O128" s="6">
        <f>+N134*L128</f>
        <v>0.11027384671935306</v>
      </c>
      <c r="P128" s="1">
        <f t="shared" si="37"/>
        <v>3.1979415548612389</v>
      </c>
    </row>
    <row r="129" spans="12:16" ht="15.75" customHeight="1" x14ac:dyDescent="0.2">
      <c r="L129" s="4">
        <v>12</v>
      </c>
      <c r="M129" s="4">
        <v>429</v>
      </c>
      <c r="N129" s="4">
        <f t="shared" si="36"/>
        <v>5148</v>
      </c>
      <c r="O129" s="6">
        <f>+N134*L129</f>
        <v>0.22054769343870612</v>
      </c>
      <c r="P129" s="1">
        <f t="shared" si="37"/>
        <v>94.614960485204918</v>
      </c>
    </row>
    <row r="130" spans="12:16" ht="15.75" customHeight="1" x14ac:dyDescent="0.2">
      <c r="L130" s="4">
        <v>12</v>
      </c>
      <c r="M130" s="4">
        <v>717</v>
      </c>
      <c r="N130" s="4">
        <f t="shared" si="36"/>
        <v>8604</v>
      </c>
      <c r="O130" s="6">
        <f>+N134*L130</f>
        <v>0.22054769343870612</v>
      </c>
      <c r="P130" s="1">
        <f t="shared" si="37"/>
        <v>158.13269619555228</v>
      </c>
    </row>
    <row r="131" spans="12:16" ht="15.75" customHeight="1" x14ac:dyDescent="0.2">
      <c r="L131" s="4">
        <v>10</v>
      </c>
      <c r="M131" s="4">
        <v>538</v>
      </c>
      <c r="N131" s="4">
        <f t="shared" si="36"/>
        <v>5380</v>
      </c>
      <c r="O131" s="6">
        <f>+N134*L131</f>
        <v>0.18378974453225508</v>
      </c>
      <c r="P131" s="1">
        <f t="shared" si="37"/>
        <v>98.878882558353226</v>
      </c>
    </row>
    <row r="132" spans="12:16" ht="15.75" customHeight="1" x14ac:dyDescent="0.2">
      <c r="M132" s="4">
        <f t="shared" ref="M132:N132" si="38">SUM(M123:M131)</f>
        <v>5074</v>
      </c>
      <c r="N132" s="4">
        <f t="shared" si="38"/>
        <v>54410</v>
      </c>
      <c r="P132" s="82">
        <f>SUM(P123:P131)</f>
        <v>1000</v>
      </c>
    </row>
    <row r="133" spans="12:16" ht="15.75" customHeight="1" x14ac:dyDescent="0.2"/>
    <row r="134" spans="12:16" ht="15.75" customHeight="1" x14ac:dyDescent="0.2">
      <c r="N134" s="4">
        <f>1000/54410</f>
        <v>1.8378974453225509E-2</v>
      </c>
    </row>
    <row r="135" spans="12:16" ht="15.75" customHeight="1" x14ac:dyDescent="0.2"/>
    <row r="136" spans="12:16" ht="15.75" customHeight="1" x14ac:dyDescent="0.2"/>
    <row r="137" spans="12:16" ht="15.75" customHeight="1" x14ac:dyDescent="0.2"/>
    <row r="138" spans="12:16" ht="15.75" customHeight="1" x14ac:dyDescent="0.2"/>
    <row r="139" spans="12:16" ht="15.75" customHeight="1" x14ac:dyDescent="0.2"/>
    <row r="140" spans="12:16" ht="15.75" customHeight="1" x14ac:dyDescent="0.2"/>
    <row r="141" spans="12:16" ht="15.75" customHeight="1" x14ac:dyDescent="0.2"/>
    <row r="142" spans="12:16" ht="15.75" customHeight="1" x14ac:dyDescent="0.2"/>
    <row r="143" spans="12:16" ht="15.75" customHeight="1" x14ac:dyDescent="0.2"/>
    <row r="144" spans="12:16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4.5" defaultRowHeight="15" customHeight="1" x14ac:dyDescent="0.2"/>
  <cols>
    <col min="1" max="1" width="12" customWidth="1"/>
    <col min="2" max="2" width="10.1640625" customWidth="1"/>
    <col min="3" max="30" width="12.6640625" customWidth="1"/>
    <col min="31" max="33" width="8.6640625" customWidth="1"/>
  </cols>
  <sheetData>
    <row r="1" spans="1:30" x14ac:dyDescent="0.2">
      <c r="A1" s="4" t="s">
        <v>217</v>
      </c>
      <c r="B1" s="6"/>
      <c r="D1" s="4" t="s">
        <v>218</v>
      </c>
      <c r="E1" s="3"/>
      <c r="G1" s="3"/>
      <c r="H1" s="100" t="s">
        <v>219</v>
      </c>
      <c r="I1" s="111"/>
      <c r="J1" s="100" t="s">
        <v>220</v>
      </c>
      <c r="K1" s="111"/>
      <c r="M1" s="3"/>
      <c r="P1" s="100" t="s">
        <v>221</v>
      </c>
      <c r="Q1" s="100" t="s">
        <v>222</v>
      </c>
      <c r="R1" s="100" t="s">
        <v>223</v>
      </c>
      <c r="S1" s="111"/>
      <c r="Z1" s="4" t="s">
        <v>224</v>
      </c>
    </row>
    <row r="2" spans="1:30" x14ac:dyDescent="0.2">
      <c r="B2" s="6"/>
      <c r="E2" s="3"/>
      <c r="G2" s="3"/>
      <c r="H2" s="100" t="s">
        <v>225</v>
      </c>
      <c r="I2" s="111"/>
      <c r="J2" s="112" t="s">
        <v>226</v>
      </c>
      <c r="K2" s="111" t="s">
        <v>227</v>
      </c>
      <c r="M2" s="3"/>
      <c r="P2" s="100" t="s">
        <v>228</v>
      </c>
      <c r="Q2" s="100"/>
      <c r="R2" s="100"/>
      <c r="S2" s="111"/>
    </row>
    <row r="3" spans="1:30" x14ac:dyDescent="0.2">
      <c r="B3" s="12" t="s">
        <v>1</v>
      </c>
      <c r="C3" s="13" t="s">
        <v>2</v>
      </c>
      <c r="D3" s="89">
        <v>44562</v>
      </c>
      <c r="E3" s="90"/>
      <c r="F3" s="89">
        <v>44593</v>
      </c>
      <c r="G3" s="90"/>
      <c r="H3" s="89">
        <v>44621</v>
      </c>
      <c r="I3" s="90"/>
      <c r="J3" s="89">
        <v>44652</v>
      </c>
      <c r="K3" s="90"/>
      <c r="L3" s="89">
        <v>44682</v>
      </c>
      <c r="M3" s="90"/>
      <c r="N3" s="89">
        <v>44713</v>
      </c>
      <c r="O3" s="91"/>
      <c r="P3" s="89">
        <v>44743</v>
      </c>
      <c r="Q3" s="90"/>
      <c r="R3" s="89">
        <v>44774</v>
      </c>
      <c r="S3" s="90"/>
      <c r="T3" s="89">
        <v>44805</v>
      </c>
      <c r="U3" s="90"/>
      <c r="V3" s="89">
        <v>44835</v>
      </c>
      <c r="W3" s="90"/>
      <c r="X3" s="89">
        <v>44866</v>
      </c>
      <c r="Y3" s="90"/>
      <c r="Z3" s="52">
        <v>44896</v>
      </c>
      <c r="AA3" s="53"/>
      <c r="AB3" s="3"/>
      <c r="AC3" s="4" t="s">
        <v>51</v>
      </c>
      <c r="AD3" s="4" t="s">
        <v>52</v>
      </c>
    </row>
    <row r="4" spans="1:30" x14ac:dyDescent="0.2">
      <c r="B4" s="18" t="s">
        <v>162</v>
      </c>
      <c r="C4" s="19"/>
      <c r="D4" s="92"/>
      <c r="E4" s="93"/>
      <c r="F4" s="92"/>
      <c r="G4" s="93"/>
      <c r="H4" s="94"/>
      <c r="I4" s="93"/>
      <c r="J4" s="92"/>
      <c r="K4" s="93"/>
      <c r="L4" s="92"/>
      <c r="M4" s="93"/>
      <c r="N4" s="95"/>
      <c r="O4" s="96"/>
      <c r="P4" s="92"/>
      <c r="Q4" s="93"/>
      <c r="R4" s="92"/>
      <c r="S4" s="93"/>
      <c r="T4" s="92"/>
      <c r="U4" s="93"/>
      <c r="V4" s="92"/>
      <c r="W4" s="93"/>
      <c r="X4" s="92"/>
      <c r="Y4" s="93"/>
      <c r="Z4" s="54"/>
      <c r="AA4" s="55"/>
      <c r="AB4" s="3"/>
      <c r="AC4" s="4" t="s">
        <v>55</v>
      </c>
    </row>
    <row r="5" spans="1:30" x14ac:dyDescent="0.2">
      <c r="A5" s="25" t="s">
        <v>4</v>
      </c>
      <c r="B5" s="12">
        <f>0.903+0.337</f>
        <v>1.24</v>
      </c>
      <c r="C5" s="13">
        <v>1750</v>
      </c>
      <c r="D5" s="26">
        <v>16498</v>
      </c>
      <c r="E5" s="27">
        <f>+D5/C5</f>
        <v>9.427428571428571</v>
      </c>
      <c r="F5" s="26">
        <f>+D5+D6</f>
        <v>14146</v>
      </c>
      <c r="G5" s="27">
        <f>+F5/C5</f>
        <v>8.0834285714285716</v>
      </c>
      <c r="H5" s="26">
        <f>+F5+F6</f>
        <v>13346</v>
      </c>
      <c r="I5" s="27">
        <f>+H5/C5</f>
        <v>7.6262857142857143</v>
      </c>
      <c r="J5" s="26">
        <f>+H5+H6</f>
        <v>10862</v>
      </c>
      <c r="K5" s="80">
        <f>+J5/C5</f>
        <v>6.2068571428571433</v>
      </c>
      <c r="L5" s="26">
        <f>+J5+J6</f>
        <v>10094</v>
      </c>
      <c r="M5" s="80">
        <f>+L5/C5</f>
        <v>5.7679999999999998</v>
      </c>
      <c r="N5" s="26">
        <f>+L5+L6</f>
        <v>7894</v>
      </c>
      <c r="O5" s="80">
        <f>+N5/C5</f>
        <v>4.5108571428571427</v>
      </c>
      <c r="P5" s="26">
        <f>+N5+N6+12000</f>
        <v>19698</v>
      </c>
      <c r="Q5" s="27">
        <f>+P5/C5</f>
        <v>11.256</v>
      </c>
      <c r="R5" s="79">
        <f>+P5+P6</f>
        <v>17788</v>
      </c>
      <c r="S5" s="27">
        <f>+R5/C5</f>
        <v>10.164571428571428</v>
      </c>
      <c r="T5" s="79">
        <f>+R5+R6</f>
        <v>13800</v>
      </c>
      <c r="U5" s="27">
        <f>+T5/C5</f>
        <v>7.8857142857142861</v>
      </c>
      <c r="V5" s="79">
        <f>+T5+T6</f>
        <v>13760</v>
      </c>
      <c r="W5" s="27">
        <f>+V5/C5</f>
        <v>7.862857142857143</v>
      </c>
      <c r="X5" s="79">
        <f>+V5+V6</f>
        <v>11608</v>
      </c>
      <c r="Y5" s="27">
        <f>+X5/C5</f>
        <v>6.6331428571428575</v>
      </c>
      <c r="Z5" s="79">
        <f>+X5+X6</f>
        <v>9824</v>
      </c>
      <c r="AA5" s="27">
        <f>+Z5/C5</f>
        <v>5.6137142857142859</v>
      </c>
      <c r="AB5" s="58">
        <f>+Z5+Z6</f>
        <v>6673</v>
      </c>
      <c r="AC5" s="59">
        <f>+C5*AA5</f>
        <v>9824</v>
      </c>
      <c r="AD5" s="13"/>
    </row>
    <row r="6" spans="1:30" x14ac:dyDescent="0.2">
      <c r="A6" s="28" t="s">
        <v>27</v>
      </c>
      <c r="B6" s="18">
        <v>0.90300000000000002</v>
      </c>
      <c r="C6" s="43">
        <f>+(+D6+F6+H6+J6+L6+N6+P6+R6+T6+V6+X6+Z6)/12</f>
        <v>-1818.75</v>
      </c>
      <c r="D6" s="30">
        <v>-2352</v>
      </c>
      <c r="E6" s="31">
        <f>+B5*D6</f>
        <v>-2916.48</v>
      </c>
      <c r="F6" s="30">
        <v>-800</v>
      </c>
      <c r="G6" s="31">
        <f>+B5*F6</f>
        <v>-992</v>
      </c>
      <c r="H6" s="30">
        <v>-2484</v>
      </c>
      <c r="I6" s="31">
        <f>+B5*H6</f>
        <v>-3080.16</v>
      </c>
      <c r="J6" s="30">
        <v>-768</v>
      </c>
      <c r="K6" s="31">
        <f>+B5*J6</f>
        <v>-952.31999999999994</v>
      </c>
      <c r="L6" s="30">
        <v>-2200</v>
      </c>
      <c r="M6" s="31">
        <f>+B5*L6</f>
        <v>-2728</v>
      </c>
      <c r="N6" s="30">
        <v>-196</v>
      </c>
      <c r="O6" s="31">
        <f>+B5*N6</f>
        <v>-243.04</v>
      </c>
      <c r="P6" s="30">
        <v>-1910</v>
      </c>
      <c r="Q6" s="31">
        <f>+B5*P6</f>
        <v>-2368.4</v>
      </c>
      <c r="R6" s="30">
        <v>-3988</v>
      </c>
      <c r="S6" s="31">
        <f>+B5*R6</f>
        <v>-4945.12</v>
      </c>
      <c r="T6" s="30">
        <v>-40</v>
      </c>
      <c r="U6" s="31">
        <f>+B5*T6</f>
        <v>-49.6</v>
      </c>
      <c r="V6" s="30">
        <v>-2152</v>
      </c>
      <c r="W6" s="31">
        <f>+B5*V6</f>
        <v>-2668.48</v>
      </c>
      <c r="X6" s="30">
        <v>-1784</v>
      </c>
      <c r="Y6" s="31">
        <f>+B5*X6</f>
        <v>-2212.16</v>
      </c>
      <c r="Z6" s="30">
        <v>-3151</v>
      </c>
      <c r="AA6" s="31">
        <f>+B5*Z6</f>
        <v>-3907.24</v>
      </c>
      <c r="AB6" s="60">
        <f t="shared" ref="AB6:AC6" si="0">+D6+F6+H6+J6+L6+N6+P6+R6+T6+V6+X6+Z6</f>
        <v>-21825</v>
      </c>
      <c r="AC6" s="1">
        <f t="shared" si="0"/>
        <v>-27063</v>
      </c>
      <c r="AD6" s="19"/>
    </row>
    <row r="7" spans="1:30" x14ac:dyDescent="0.2">
      <c r="A7" s="28" t="s">
        <v>15</v>
      </c>
      <c r="B7" s="18"/>
      <c r="C7" s="43">
        <f>+(+D6+F6+H6+J6+L6+N6+P6+R6+T6+V6+X6)/11</f>
        <v>-1697.6363636363637</v>
      </c>
      <c r="D7" s="30"/>
      <c r="E7" s="31">
        <v>5175.5200000000004</v>
      </c>
      <c r="F7" s="30"/>
      <c r="G7" s="31">
        <v>2418.88</v>
      </c>
      <c r="H7" s="30"/>
      <c r="I7" s="31">
        <v>4212.84</v>
      </c>
      <c r="J7" s="30"/>
      <c r="K7" s="31">
        <v>2311.7399999999998</v>
      </c>
      <c r="L7" s="30"/>
      <c r="M7" s="31">
        <v>4746.88</v>
      </c>
      <c r="N7" s="30"/>
      <c r="O7" s="31">
        <v>525.5</v>
      </c>
      <c r="P7" s="30"/>
      <c r="Q7" s="31">
        <v>4641.3599999999997</v>
      </c>
      <c r="R7" s="30"/>
      <c r="S7" s="31">
        <v>7540.68</v>
      </c>
      <c r="T7" s="30"/>
      <c r="U7" s="31">
        <v>134</v>
      </c>
      <c r="V7" s="30"/>
      <c r="W7" s="31">
        <v>5070.5200000000004</v>
      </c>
      <c r="X7" s="30"/>
      <c r="Y7" s="31">
        <v>3524.84</v>
      </c>
      <c r="Z7" s="30"/>
      <c r="AA7" s="31">
        <v>5451.04</v>
      </c>
      <c r="AB7" s="50"/>
      <c r="AC7" s="50">
        <f>+E7+G7+I7+K7+M7+O7+Q7+S7+U7+W7+Y7+AA7</f>
        <v>45753.799999999996</v>
      </c>
      <c r="AD7" s="37">
        <f>+AC7/+AB6</f>
        <v>-2.0963940435280639</v>
      </c>
    </row>
    <row r="8" spans="1:30" x14ac:dyDescent="0.2">
      <c r="A8" s="33" t="s">
        <v>163</v>
      </c>
      <c r="B8" s="34">
        <f>SUM(D7:Q7)/(+D6+F6+H6+J6+L6+N6+P6)</f>
        <v>-2.2439514472455651</v>
      </c>
      <c r="C8" s="64"/>
      <c r="D8" s="36"/>
      <c r="E8" s="37">
        <f>+E7/(+D6*-1)</f>
        <v>2.2004761904761905</v>
      </c>
      <c r="F8" s="36"/>
      <c r="G8" s="37">
        <f>+G7/(+F6*-1)</f>
        <v>3.0236000000000001</v>
      </c>
      <c r="H8" s="36"/>
      <c r="I8" s="37">
        <f>+I7/(+H6*-1)</f>
        <v>1.6959903381642514</v>
      </c>
      <c r="J8" s="36"/>
      <c r="K8" s="37">
        <f>+K7/(+J6*-1)</f>
        <v>3.0100781249999997</v>
      </c>
      <c r="L8" s="36"/>
      <c r="M8" s="37">
        <f>+M7/(+L6*-1)</f>
        <v>2.1576727272727272</v>
      </c>
      <c r="N8" s="36"/>
      <c r="O8" s="37">
        <f>+O7/(+N6*-1)</f>
        <v>2.681122448979592</v>
      </c>
      <c r="P8" s="36"/>
      <c r="Q8" s="37">
        <f>+Q7/(+P6*-1)</f>
        <v>2.4300314136125651</v>
      </c>
      <c r="R8" s="36"/>
      <c r="S8" s="37">
        <f>+S7/(+R6*-1)</f>
        <v>1.8908425275827483</v>
      </c>
      <c r="T8" s="36"/>
      <c r="U8" s="37">
        <f>+U7/(+T6*-1)</f>
        <v>3.35</v>
      </c>
      <c r="V8" s="36"/>
      <c r="W8" s="37">
        <f>+W7/(+V6*-1)</f>
        <v>2.356189591078067</v>
      </c>
      <c r="X8" s="36"/>
      <c r="Y8" s="37">
        <f>+Y7/(+X6*-1)</f>
        <v>1.9758071748878925</v>
      </c>
      <c r="Z8" s="36"/>
      <c r="AA8" s="37">
        <f>+AA7/(+Z6*-1)</f>
        <v>1.7299397016820057</v>
      </c>
      <c r="AB8" s="1"/>
      <c r="AC8" s="1"/>
      <c r="AD8" s="31"/>
    </row>
    <row r="9" spans="1:30" x14ac:dyDescent="0.2">
      <c r="A9" s="25" t="s">
        <v>5</v>
      </c>
      <c r="B9" s="12">
        <f>0.655+0.225</f>
        <v>0.88</v>
      </c>
      <c r="C9" s="13">
        <v>800</v>
      </c>
      <c r="D9" s="26">
        <f>11849-360</f>
        <v>11489</v>
      </c>
      <c r="E9" s="27">
        <f>+D9/C9</f>
        <v>14.36125</v>
      </c>
      <c r="F9" s="26">
        <f>+D9+D10</f>
        <v>10513</v>
      </c>
      <c r="G9" s="27">
        <f>+F9/C9</f>
        <v>13.141249999999999</v>
      </c>
      <c r="H9" s="26">
        <f>+F9+F10</f>
        <v>10113</v>
      </c>
      <c r="I9" s="27">
        <f>+H9/C9</f>
        <v>12.641249999999999</v>
      </c>
      <c r="J9" s="26">
        <f>+H9+H10</f>
        <v>8221</v>
      </c>
      <c r="K9" s="27">
        <f>+J9/C9</f>
        <v>10.276249999999999</v>
      </c>
      <c r="L9" s="26">
        <f>+J9+J103</f>
        <v>8221</v>
      </c>
      <c r="M9" s="27">
        <f>+L9/C9</f>
        <v>10.276249999999999</v>
      </c>
      <c r="N9" s="79">
        <f>+L9+L10</f>
        <v>7021</v>
      </c>
      <c r="O9" s="27">
        <f>+N9/C9</f>
        <v>8.7762499999999992</v>
      </c>
      <c r="P9" s="79">
        <f>+N9+N10+1800</f>
        <v>8773</v>
      </c>
      <c r="Q9" s="27">
        <f>+P9/C9</f>
        <v>10.96625</v>
      </c>
      <c r="R9" s="79">
        <f>+P9+P100</f>
        <v>8773.5280000000002</v>
      </c>
      <c r="S9" s="27">
        <f>+R9/C9</f>
        <v>10.96691</v>
      </c>
      <c r="T9" s="79">
        <f>+R9+R10</f>
        <v>6859.5280000000002</v>
      </c>
      <c r="U9" s="27">
        <f>+T9/C9</f>
        <v>8.5744100000000003</v>
      </c>
      <c r="V9" s="79">
        <f>+T9+T10</f>
        <v>6833.5280000000002</v>
      </c>
      <c r="W9" s="27">
        <f>+V9/C9</f>
        <v>8.5419099999999997</v>
      </c>
      <c r="X9" s="79">
        <f>+V9+V10</f>
        <v>5657.5280000000002</v>
      </c>
      <c r="Y9" s="27">
        <f>+X9/C9</f>
        <v>7.0719099999999999</v>
      </c>
      <c r="Z9" s="79">
        <f>+X9+X10</f>
        <v>5365.5280000000002</v>
      </c>
      <c r="AA9" s="27">
        <f>+Z9/C9</f>
        <v>6.7069100000000006</v>
      </c>
      <c r="AB9" s="58">
        <f>+Z9+Z10</f>
        <v>4933.5280000000002</v>
      </c>
      <c r="AC9" s="59">
        <f>+C9*AA9</f>
        <v>5365.5280000000002</v>
      </c>
      <c r="AD9" s="13"/>
    </row>
    <row r="10" spans="1:30" x14ac:dyDescent="0.2">
      <c r="A10" s="28" t="s">
        <v>27</v>
      </c>
      <c r="B10" s="18">
        <v>0.65500000000000003</v>
      </c>
      <c r="C10" s="43">
        <f>+(+D10+F10+H10+J10+L10+N10+P10+R10+T10+V10+X10+Z10)/12</f>
        <v>-790.41666666666663</v>
      </c>
      <c r="D10" s="30">
        <v>-976</v>
      </c>
      <c r="E10" s="31">
        <f>+B9*D10</f>
        <v>-858.88</v>
      </c>
      <c r="F10" s="30">
        <v>-400</v>
      </c>
      <c r="G10" s="31">
        <f>+B9*F10</f>
        <v>-352</v>
      </c>
      <c r="H10" s="30">
        <v>-1892</v>
      </c>
      <c r="I10" s="31">
        <f>+B9*H10</f>
        <v>-1664.96</v>
      </c>
      <c r="J10" s="30">
        <v>-384</v>
      </c>
      <c r="K10" s="31">
        <f>+B9*J10</f>
        <v>-337.92</v>
      </c>
      <c r="L10" s="30">
        <v>-1200</v>
      </c>
      <c r="M10" s="31">
        <f>+B9*L10</f>
        <v>-1056</v>
      </c>
      <c r="N10" s="30">
        <v>-48</v>
      </c>
      <c r="O10" s="31">
        <f>+B9*N10</f>
        <v>-42.24</v>
      </c>
      <c r="P10" s="30">
        <v>-745</v>
      </c>
      <c r="Q10" s="31">
        <f>+B9*P10</f>
        <v>-655.6</v>
      </c>
      <c r="R10" s="30">
        <v>-1914</v>
      </c>
      <c r="S10" s="31">
        <f>+B9*R10</f>
        <v>-1684.32</v>
      </c>
      <c r="T10" s="30">
        <v>-26</v>
      </c>
      <c r="U10" s="31">
        <f>+B9*T10</f>
        <v>-22.88</v>
      </c>
      <c r="V10" s="30">
        <v>-1176</v>
      </c>
      <c r="W10" s="31">
        <f>+B9*V10</f>
        <v>-1034.8800000000001</v>
      </c>
      <c r="X10" s="30">
        <v>-292</v>
      </c>
      <c r="Y10" s="31">
        <f>+B9*X10</f>
        <v>-256.95999999999998</v>
      </c>
      <c r="Z10" s="30">
        <v>-432</v>
      </c>
      <c r="AA10" s="31">
        <f>+B9*Z10</f>
        <v>-380.16</v>
      </c>
      <c r="AB10" s="60">
        <f t="shared" ref="AB10:AC10" si="1">+D10+F10+H10+J10+L10+N10+P10+R10+T10+V10+X10+Z10</f>
        <v>-9485</v>
      </c>
      <c r="AC10" s="1">
        <f t="shared" si="1"/>
        <v>-8346.8000000000011</v>
      </c>
      <c r="AD10" s="19"/>
    </row>
    <row r="11" spans="1:30" x14ac:dyDescent="0.2">
      <c r="A11" s="28" t="s">
        <v>15</v>
      </c>
      <c r="B11" s="18"/>
      <c r="C11" s="43">
        <f>+(+D10+F10+H10+J10+L10+N10+P10+R10+T10+V10+X10+Z10)/12</f>
        <v>-790.41666666666663</v>
      </c>
      <c r="D11" s="30"/>
      <c r="E11" s="31">
        <v>1885.44</v>
      </c>
      <c r="F11" s="30"/>
      <c r="G11" s="31">
        <v>988.48</v>
      </c>
      <c r="H11" s="30"/>
      <c r="I11" s="31">
        <v>2823.48</v>
      </c>
      <c r="J11" s="30"/>
      <c r="K11" s="31">
        <v>936.96</v>
      </c>
      <c r="L11" s="30"/>
      <c r="M11" s="31">
        <v>2200.48</v>
      </c>
      <c r="N11" s="30"/>
      <c r="O11" s="31">
        <v>154.56</v>
      </c>
      <c r="P11" s="30"/>
      <c r="Q11" s="31">
        <v>1505.1</v>
      </c>
      <c r="R11" s="30"/>
      <c r="S11" s="31">
        <v>3116.56</v>
      </c>
      <c r="T11" s="30"/>
      <c r="U11" s="31">
        <v>83.72</v>
      </c>
      <c r="V11" s="30"/>
      <c r="W11" s="31">
        <v>1405.44</v>
      </c>
      <c r="X11" s="30"/>
      <c r="Y11" s="31">
        <v>654.48</v>
      </c>
      <c r="Z11" s="30"/>
      <c r="AA11" s="31">
        <v>751.68</v>
      </c>
      <c r="AB11" s="50"/>
      <c r="AC11" s="50">
        <f>+E11+G11+I11+K11+M11+O11+Q11+S11+U11+W11+Y11+AA11</f>
        <v>16506.379999999997</v>
      </c>
      <c r="AD11" s="37">
        <f>+AC11/+AB10</f>
        <v>-1.7402614654717974</v>
      </c>
    </row>
    <row r="12" spans="1:30" x14ac:dyDescent="0.2">
      <c r="A12" s="33" t="s">
        <v>163</v>
      </c>
      <c r="B12" s="34">
        <f>SUM(D11:Q11)/(+D10+F10+H10+J10+L10+N10+P10)</f>
        <v>-1.8590788308237378</v>
      </c>
      <c r="C12" s="64"/>
      <c r="D12" s="36"/>
      <c r="E12" s="37">
        <f>+E11/(+D10*-1)</f>
        <v>1.9318032786885246</v>
      </c>
      <c r="F12" s="36"/>
      <c r="G12" s="37">
        <f>+G11/(+F10*-1)</f>
        <v>2.4712000000000001</v>
      </c>
      <c r="H12" s="36"/>
      <c r="I12" s="37">
        <f>+I11/(+H10*-1)</f>
        <v>1.4923255813953489</v>
      </c>
      <c r="J12" s="36"/>
      <c r="K12" s="37">
        <f>+K11/(+J10*-1)</f>
        <v>2.44</v>
      </c>
      <c r="L12" s="36"/>
      <c r="M12" s="37">
        <f>+M11/(+L10*-1)</f>
        <v>1.8337333333333334</v>
      </c>
      <c r="N12" s="36"/>
      <c r="O12" s="37">
        <f>+O11/(+N10*-1)</f>
        <v>3.22</v>
      </c>
      <c r="P12" s="36"/>
      <c r="Q12" s="37">
        <f>+Q11/(+P10*-1)</f>
        <v>2.0202684563758386</v>
      </c>
      <c r="R12" s="36"/>
      <c r="S12" s="37">
        <f>+S11/(+R10*-1)</f>
        <v>1.6282967607105538</v>
      </c>
      <c r="T12" s="36"/>
      <c r="U12" s="37">
        <f>+U11/(+T10*-1)</f>
        <v>3.2199999999999998</v>
      </c>
      <c r="V12" s="36"/>
      <c r="W12" s="37">
        <f>+W11/(+V10*-1)</f>
        <v>1.1951020408163266</v>
      </c>
      <c r="X12" s="36"/>
      <c r="Y12" s="37">
        <f>+Y11/(+X10*-1)</f>
        <v>2.2413698630136989</v>
      </c>
      <c r="Z12" s="36"/>
      <c r="AA12" s="37">
        <f>+AA11/(+Z10*-1)</f>
        <v>1.74</v>
      </c>
      <c r="AB12" s="1"/>
      <c r="AC12" s="1"/>
      <c r="AD12" s="31"/>
    </row>
    <row r="13" spans="1:30" x14ac:dyDescent="0.2">
      <c r="A13" s="28" t="s">
        <v>6</v>
      </c>
      <c r="B13" s="18">
        <f>0.528+0.168</f>
        <v>0.69600000000000006</v>
      </c>
      <c r="C13" s="19">
        <v>200</v>
      </c>
      <c r="D13" s="30">
        <v>3009</v>
      </c>
      <c r="E13" s="32">
        <f>+D13/C13</f>
        <v>15.045</v>
      </c>
      <c r="F13" s="30">
        <f>+D13+D14</f>
        <v>2837</v>
      </c>
      <c r="G13" s="32">
        <f>+F13/C13</f>
        <v>14.185</v>
      </c>
      <c r="H13" s="30">
        <f>+F13+F14</f>
        <v>2785</v>
      </c>
      <c r="I13" s="32">
        <f>+H13/C13</f>
        <v>13.925000000000001</v>
      </c>
      <c r="J13" s="30">
        <f>+H13+H14</f>
        <v>2661</v>
      </c>
      <c r="K13" s="32">
        <f>+J13/C13</f>
        <v>13.305</v>
      </c>
      <c r="L13" s="30">
        <f>+J13+J14</f>
        <v>2613</v>
      </c>
      <c r="M13" s="32">
        <f>+L13/C13</f>
        <v>13.065</v>
      </c>
      <c r="N13" s="30">
        <f>+L13+L14</f>
        <v>2362</v>
      </c>
      <c r="O13" s="32">
        <f>+N13/C13</f>
        <v>11.81</v>
      </c>
      <c r="P13" s="30">
        <f>+N13+N14+1020</f>
        <v>3374</v>
      </c>
      <c r="Q13" s="32">
        <f>+P13/C13</f>
        <v>16.87</v>
      </c>
      <c r="R13" s="30">
        <f>+P13+P14</f>
        <v>2984</v>
      </c>
      <c r="S13" s="32">
        <f>+R13/C13</f>
        <v>14.92</v>
      </c>
      <c r="T13" s="30">
        <f>+R13+R14</f>
        <v>2431</v>
      </c>
      <c r="U13" s="32">
        <f>+T13/C13</f>
        <v>12.154999999999999</v>
      </c>
      <c r="V13" s="30">
        <f>+T13+T14</f>
        <v>2431</v>
      </c>
      <c r="W13" s="32">
        <f>+V13/C13</f>
        <v>12.154999999999999</v>
      </c>
      <c r="X13" s="30">
        <f>+V13+V14</f>
        <v>2063</v>
      </c>
      <c r="Y13" s="32">
        <f>+X13/C13</f>
        <v>10.315</v>
      </c>
      <c r="Z13" s="30">
        <f>+X13+X14</f>
        <v>2039</v>
      </c>
      <c r="AA13" s="32">
        <f>+Z13/C13</f>
        <v>10.195</v>
      </c>
      <c r="AB13" s="62">
        <f>+Z13+Z14</f>
        <v>1847</v>
      </c>
      <c r="AC13" s="59">
        <f>+C13*AA13</f>
        <v>2039</v>
      </c>
      <c r="AD13" s="13"/>
    </row>
    <row r="14" spans="1:30" x14ac:dyDescent="0.2">
      <c r="A14" s="28" t="s">
        <v>27</v>
      </c>
      <c r="B14" s="18">
        <v>0.52800000000000002</v>
      </c>
      <c r="C14" s="43">
        <f>+(+D14+F14+H14+J14+L14+N14+P14+R14+T14+V14+X14+Z14)/12</f>
        <v>-181.83333333333334</v>
      </c>
      <c r="D14" s="30">
        <v>-172</v>
      </c>
      <c r="E14" s="31">
        <f>+B13*D14</f>
        <v>-119.71200000000002</v>
      </c>
      <c r="F14" s="30">
        <v>-52</v>
      </c>
      <c r="G14" s="32">
        <f>+B13*F14</f>
        <v>-36.192</v>
      </c>
      <c r="H14" s="30">
        <v>-124</v>
      </c>
      <c r="I14" s="31">
        <f>+B13*H14</f>
        <v>-86.304000000000002</v>
      </c>
      <c r="J14" s="30">
        <v>-48</v>
      </c>
      <c r="K14" s="31">
        <f>+B13*J14</f>
        <v>-33.408000000000001</v>
      </c>
      <c r="L14" s="30">
        <v>-251</v>
      </c>
      <c r="M14" s="31">
        <f>+B13*L14</f>
        <v>-174.69600000000003</v>
      </c>
      <c r="N14" s="30">
        <v>-8</v>
      </c>
      <c r="O14" s="31">
        <f>+B13*N14</f>
        <v>-5.5680000000000005</v>
      </c>
      <c r="P14" s="30">
        <v>-390</v>
      </c>
      <c r="Q14" s="31">
        <f>+B13*P14</f>
        <v>-271.44</v>
      </c>
      <c r="R14" s="30">
        <v>-553</v>
      </c>
      <c r="S14" s="31">
        <f>+B13*R14</f>
        <v>-384.88800000000003</v>
      </c>
      <c r="T14" s="30">
        <v>0</v>
      </c>
      <c r="U14" s="31">
        <f>+B13*T14</f>
        <v>0</v>
      </c>
      <c r="V14" s="30">
        <v>-368</v>
      </c>
      <c r="W14" s="31">
        <f>+B13*V14</f>
        <v>-256.12800000000004</v>
      </c>
      <c r="X14" s="30">
        <v>-24</v>
      </c>
      <c r="Y14" s="31">
        <f>+B13*X14</f>
        <v>-16.704000000000001</v>
      </c>
      <c r="Z14" s="30">
        <v>-192</v>
      </c>
      <c r="AA14" s="31">
        <f>+B13*Z14</f>
        <v>-133.63200000000001</v>
      </c>
      <c r="AB14" s="63">
        <f t="shared" ref="AB14:AC14" si="2">+D14+F14+H14+J14+L14+N14+P14+R14+T14+V14+X14+Z14</f>
        <v>-2182</v>
      </c>
      <c r="AC14" s="1">
        <f t="shared" si="2"/>
        <v>-1518.6720000000003</v>
      </c>
      <c r="AD14" s="19"/>
    </row>
    <row r="15" spans="1:30" x14ac:dyDescent="0.2">
      <c r="A15" s="28" t="s">
        <v>15</v>
      </c>
      <c r="B15" s="18"/>
      <c r="C15" s="43">
        <f>+(+D14+F14+H14+J14+L14+N14+P14+R14+T14+V14+X14+Z14)/12</f>
        <v>-181.83333333333334</v>
      </c>
      <c r="D15" s="30"/>
      <c r="E15" s="31">
        <v>214.4</v>
      </c>
      <c r="F15" s="30"/>
      <c r="G15" s="32">
        <v>109.24</v>
      </c>
      <c r="H15" s="30"/>
      <c r="I15" s="31">
        <v>144.80000000000001</v>
      </c>
      <c r="J15" s="30"/>
      <c r="K15" s="31">
        <v>79.599999999999994</v>
      </c>
      <c r="L15" s="30"/>
      <c r="M15" s="31">
        <v>319.08</v>
      </c>
      <c r="N15" s="30"/>
      <c r="O15" s="31">
        <v>25.28</v>
      </c>
      <c r="P15" s="30"/>
      <c r="Q15" s="31">
        <v>606.72</v>
      </c>
      <c r="R15" s="30"/>
      <c r="S15" s="31">
        <v>712.3</v>
      </c>
      <c r="T15" s="30"/>
      <c r="U15" s="31">
        <v>0</v>
      </c>
      <c r="V15" s="30"/>
      <c r="W15" s="31">
        <v>483.6</v>
      </c>
      <c r="X15" s="30"/>
      <c r="Y15" s="31">
        <v>34.799999999999997</v>
      </c>
      <c r="Z15" s="30"/>
      <c r="AA15" s="31">
        <v>357.12</v>
      </c>
      <c r="AB15" s="49"/>
      <c r="AC15" s="50">
        <f>+E15+G15+I15+K15+M15+O15+Q15+S15+U15+W15+Y15+AA15</f>
        <v>3086.94</v>
      </c>
      <c r="AD15" s="37">
        <f>+AC15/+AB14</f>
        <v>-1.4147296058661778</v>
      </c>
    </row>
    <row r="16" spans="1:30" x14ac:dyDescent="0.2">
      <c r="A16" s="4" t="s">
        <v>163</v>
      </c>
      <c r="B16" s="34">
        <f>SUM(D15:Q15)/(+D14+F14+H14+J14+L14+N14+P14)</f>
        <v>-1.4345645933014353</v>
      </c>
      <c r="C16" s="64"/>
      <c r="D16" s="36"/>
      <c r="E16" s="37">
        <f>+E15/(+D14*-1)</f>
        <v>1.2465116279069768</v>
      </c>
      <c r="F16" s="36"/>
      <c r="G16" s="38">
        <f>+G15/(+F14*-1)</f>
        <v>2.1007692307692305</v>
      </c>
      <c r="H16" s="36"/>
      <c r="I16" s="37">
        <f>+I15/(+H14*-1)</f>
        <v>1.167741935483871</v>
      </c>
      <c r="J16" s="36"/>
      <c r="K16" s="37">
        <f>+K15/(+J14*-1)</f>
        <v>1.6583333333333332</v>
      </c>
      <c r="L16" s="36"/>
      <c r="M16" s="37">
        <f>+M15/(+L14*-1)</f>
        <v>1.2712350597609561</v>
      </c>
      <c r="N16" s="36"/>
      <c r="O16" s="37">
        <f>+O15/(+N14*-1)</f>
        <v>3.16</v>
      </c>
      <c r="P16" s="36"/>
      <c r="Q16" s="37">
        <f>+Q15/(+P14*-1)</f>
        <v>1.5556923076923077</v>
      </c>
      <c r="R16" s="36"/>
      <c r="S16" s="37">
        <f>+S15/(+R14*-1)</f>
        <v>1.2880650994575045</v>
      </c>
      <c r="T16" s="36"/>
      <c r="U16" s="37" t="e">
        <f>+U15/(+T14*-1)</f>
        <v>#DIV/0!</v>
      </c>
      <c r="V16" s="36"/>
      <c r="W16" s="37">
        <f>+W15/(+V14*-1)</f>
        <v>1.3141304347826088</v>
      </c>
      <c r="X16" s="36"/>
      <c r="Y16" s="37">
        <f>+Y15/(+X14*-1)</f>
        <v>1.45</v>
      </c>
      <c r="Z16" s="36"/>
      <c r="AA16" s="37">
        <f>+AA15/(+Z14*-1)</f>
        <v>1.86</v>
      </c>
      <c r="AB16" s="1"/>
      <c r="AC16" s="1"/>
      <c r="AD16" s="1"/>
    </row>
    <row r="17" spans="1:30" x14ac:dyDescent="0.2">
      <c r="A17" s="59"/>
      <c r="B17" s="12"/>
      <c r="C17" s="13"/>
      <c r="D17" s="26"/>
      <c r="E17" s="27"/>
      <c r="F17" s="26"/>
      <c r="G17" s="27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26"/>
      <c r="W17" s="27"/>
      <c r="X17" s="26"/>
      <c r="Y17" s="27"/>
      <c r="Z17" s="26"/>
      <c r="AA17" s="27"/>
      <c r="AB17" s="3"/>
    </row>
    <row r="18" spans="1:30" x14ac:dyDescent="0.2">
      <c r="A18" s="40" t="s">
        <v>7</v>
      </c>
      <c r="B18" s="12">
        <f>0.81+0.225</f>
        <v>1.0350000000000001</v>
      </c>
      <c r="C18" s="13">
        <v>400</v>
      </c>
      <c r="D18" s="26">
        <f>4875-240</f>
        <v>4635</v>
      </c>
      <c r="E18" s="27">
        <f>+D18/C18</f>
        <v>11.5875</v>
      </c>
      <c r="F18" s="26">
        <f>+D18+D19</f>
        <v>4635</v>
      </c>
      <c r="G18" s="27">
        <f>+F18/C18</f>
        <v>11.5875</v>
      </c>
      <c r="H18" s="41">
        <f>+F18+F19</f>
        <v>3835</v>
      </c>
      <c r="I18" s="27">
        <f>+H18/C18</f>
        <v>9.5875000000000004</v>
      </c>
      <c r="J18" s="41">
        <f>+H18+H19</f>
        <v>3835</v>
      </c>
      <c r="K18" s="27">
        <f>+J18/C18</f>
        <v>9.5875000000000004</v>
      </c>
      <c r="L18" s="41">
        <f>+J18+J19</f>
        <v>3335</v>
      </c>
      <c r="M18" s="27">
        <f>+L18/C18</f>
        <v>8.3375000000000004</v>
      </c>
      <c r="N18" s="41">
        <f>+L18+L19</f>
        <v>3335</v>
      </c>
      <c r="O18" s="27">
        <f>+N18/C18</f>
        <v>8.3375000000000004</v>
      </c>
      <c r="P18" s="41">
        <f>+N18+N19+1920</f>
        <v>4655</v>
      </c>
      <c r="Q18" s="27">
        <f>+P18/C18</f>
        <v>11.637499999999999</v>
      </c>
      <c r="R18" s="41">
        <f>+P18+P19</f>
        <v>3855</v>
      </c>
      <c r="S18" s="27">
        <f>+R18/C18</f>
        <v>9.6374999999999993</v>
      </c>
      <c r="T18" s="41">
        <f>+R18+R19</f>
        <v>3855</v>
      </c>
      <c r="U18" s="27">
        <f>+T18/C18</f>
        <v>9.6374999999999993</v>
      </c>
      <c r="V18" s="41">
        <f>+T18+T19</f>
        <v>3855</v>
      </c>
      <c r="W18" s="27">
        <f>+V18/C18</f>
        <v>9.6374999999999993</v>
      </c>
      <c r="X18" s="41">
        <f>+V18+V19</f>
        <v>2455</v>
      </c>
      <c r="Y18" s="27">
        <f>+X18/C18</f>
        <v>6.1375000000000002</v>
      </c>
      <c r="Z18" s="41">
        <f>+X18+X19</f>
        <v>2455</v>
      </c>
      <c r="AA18" s="27">
        <f>+Z18/C18</f>
        <v>6.1375000000000002</v>
      </c>
      <c r="AB18" s="58">
        <f>+Z18+Z19</f>
        <v>1855</v>
      </c>
      <c r="AC18" s="59">
        <f>+C18*AA18</f>
        <v>2455</v>
      </c>
      <c r="AD18" s="13"/>
    </row>
    <row r="19" spans="1:30" x14ac:dyDescent="0.2">
      <c r="A19" s="42" t="s">
        <v>27</v>
      </c>
      <c r="B19" s="18">
        <v>0.81</v>
      </c>
      <c r="C19" s="43">
        <f>+(+D19+F19+H19+J19+L19+N19+P19+R19+T19+V19+X19+Z19)/12</f>
        <v>-391.66666666666669</v>
      </c>
      <c r="D19" s="30">
        <v>0</v>
      </c>
      <c r="E19" s="31">
        <f>+B18*D19</f>
        <v>0</v>
      </c>
      <c r="F19" s="30">
        <v>-800</v>
      </c>
      <c r="G19" s="31">
        <f>+B18*F19</f>
        <v>-828.00000000000011</v>
      </c>
      <c r="H19" s="30">
        <v>0</v>
      </c>
      <c r="I19" s="31">
        <f>+B18*H19</f>
        <v>0</v>
      </c>
      <c r="J19" s="30">
        <v>-500</v>
      </c>
      <c r="K19" s="31">
        <f>+B18*J19</f>
        <v>-517.50000000000011</v>
      </c>
      <c r="L19" s="30">
        <v>0</v>
      </c>
      <c r="M19" s="31">
        <f>+B18*L19</f>
        <v>0</v>
      </c>
      <c r="N19" s="30">
        <v>-600</v>
      </c>
      <c r="O19" s="31">
        <f>+B18*N19</f>
        <v>-621.00000000000011</v>
      </c>
      <c r="P19" s="30">
        <v>-800</v>
      </c>
      <c r="Q19" s="31">
        <f>+B18*P19</f>
        <v>-828.00000000000011</v>
      </c>
      <c r="R19" s="30">
        <v>0</v>
      </c>
      <c r="S19" s="31">
        <f>+B18*R19</f>
        <v>0</v>
      </c>
      <c r="T19" s="30">
        <v>0</v>
      </c>
      <c r="U19" s="31">
        <f>+B18*T19</f>
        <v>0</v>
      </c>
      <c r="V19" s="30">
        <v>-1400</v>
      </c>
      <c r="W19" s="31">
        <f>+B18*V19</f>
        <v>-1449.0000000000002</v>
      </c>
      <c r="X19" s="30">
        <v>0</v>
      </c>
      <c r="Y19" s="31">
        <f>+B18*X19</f>
        <v>0</v>
      </c>
      <c r="Z19" s="30">
        <v>-600</v>
      </c>
      <c r="AA19" s="31">
        <f>+B18*Z19</f>
        <v>-621.00000000000011</v>
      </c>
      <c r="AB19" s="60">
        <f t="shared" ref="AB19:AC19" si="3">+D19+F19+H19+J19+L19+N19+P19+R19+T19+V19+X19+Z19</f>
        <v>-4700</v>
      </c>
      <c r="AC19" s="1">
        <f t="shared" si="3"/>
        <v>-4864.5000000000009</v>
      </c>
      <c r="AD19" s="19"/>
    </row>
    <row r="20" spans="1:30" x14ac:dyDescent="0.2">
      <c r="A20" s="66" t="s">
        <v>15</v>
      </c>
      <c r="B20" s="18"/>
      <c r="C20" s="43">
        <f>+(+D19+F19+H19+J19+L19+N19+P19+R19+T19+V19+X19)/11</f>
        <v>-372.72727272727275</v>
      </c>
      <c r="D20" s="30" t="s">
        <v>164</v>
      </c>
      <c r="E20" s="31">
        <v>0</v>
      </c>
      <c r="F20" s="30"/>
      <c r="G20" s="31">
        <v>1040</v>
      </c>
      <c r="H20" s="30"/>
      <c r="I20" s="31">
        <v>0</v>
      </c>
      <c r="J20" s="30"/>
      <c r="K20" s="31">
        <v>800</v>
      </c>
      <c r="L20" s="30"/>
      <c r="M20" s="31">
        <v>0</v>
      </c>
      <c r="N20" s="30"/>
      <c r="O20" s="31">
        <v>960</v>
      </c>
      <c r="P20" s="30"/>
      <c r="Q20" s="31">
        <v>1280</v>
      </c>
      <c r="R20" s="30"/>
      <c r="S20" s="31">
        <v>0</v>
      </c>
      <c r="T20" s="30"/>
      <c r="U20" s="31">
        <v>0</v>
      </c>
      <c r="V20" s="30"/>
      <c r="W20" s="31">
        <v>2240</v>
      </c>
      <c r="X20" s="30"/>
      <c r="Y20" s="31">
        <v>0</v>
      </c>
      <c r="Z20" s="30"/>
      <c r="AA20" s="31">
        <v>960</v>
      </c>
      <c r="AB20" s="50"/>
      <c r="AC20" s="50">
        <f>+E20+G20+I20+K20+M20+O20+Q20+S20+U20+W20+Y20+AA20</f>
        <v>7280</v>
      </c>
      <c r="AD20" s="37">
        <v>0</v>
      </c>
    </row>
    <row r="21" spans="1:30" ht="15.75" customHeight="1" x14ac:dyDescent="0.2">
      <c r="A21" s="33"/>
      <c r="B21" s="34">
        <f>SUM(D20:Q20)/(+D19+F19+H19+J19+L19+N19+P19)</f>
        <v>-1.5111111111111111</v>
      </c>
      <c r="C21" s="64"/>
      <c r="D21" s="36"/>
      <c r="E21" s="37" t="e">
        <f>+E20/(+D19*-1)</f>
        <v>#DIV/0!</v>
      </c>
      <c r="F21" s="36"/>
      <c r="G21" s="37">
        <f>+G20/(+F19*-1)</f>
        <v>1.3</v>
      </c>
      <c r="H21" s="36"/>
      <c r="I21" s="37" t="e">
        <f>+I20/(+H19*-1)</f>
        <v>#DIV/0!</v>
      </c>
      <c r="J21" s="36"/>
      <c r="K21" s="37">
        <f>+K20/(+J19*-1)</f>
        <v>1.6</v>
      </c>
      <c r="L21" s="36"/>
      <c r="M21" s="37" t="e">
        <f>+M20/(+L19*-1)</f>
        <v>#DIV/0!</v>
      </c>
      <c r="N21" s="36"/>
      <c r="O21" s="37">
        <f>+O20/(+N19*-1)</f>
        <v>1.6</v>
      </c>
      <c r="P21" s="36"/>
      <c r="Q21" s="37">
        <f>+Q20/(+P19*-1)</f>
        <v>1.6</v>
      </c>
      <c r="R21" s="36"/>
      <c r="S21" s="37" t="e">
        <f>+S20/(+R19*-1)</f>
        <v>#DIV/0!</v>
      </c>
      <c r="T21" s="36"/>
      <c r="U21" s="37" t="e">
        <f>+U20/(+T19*-1)</f>
        <v>#DIV/0!</v>
      </c>
      <c r="V21" s="36"/>
      <c r="W21" s="37">
        <f>+W20/(+V19*-1)</f>
        <v>1.6</v>
      </c>
      <c r="X21" s="36"/>
      <c r="Y21" s="37" t="e">
        <f>+Y20/(+X19*-1)</f>
        <v>#DIV/0!</v>
      </c>
      <c r="Z21" s="36"/>
      <c r="AA21" s="37">
        <f>+AA20/(+Z19*-1)</f>
        <v>1.6</v>
      </c>
      <c r="AB21" s="1"/>
      <c r="AC21" s="1"/>
      <c r="AD21" s="31"/>
    </row>
    <row r="22" spans="1:30" ht="15.75" customHeight="1" x14ac:dyDescent="0.2">
      <c r="A22" s="40" t="s">
        <v>8</v>
      </c>
      <c r="B22" s="12">
        <f>0.555+0.225</f>
        <v>0.78</v>
      </c>
      <c r="C22" s="13">
        <v>200</v>
      </c>
      <c r="D22" s="26">
        <f>1360+720</f>
        <v>2080</v>
      </c>
      <c r="E22" s="27">
        <f>+D22/C22</f>
        <v>10.4</v>
      </c>
      <c r="F22" s="26">
        <f>+D22+D23</f>
        <v>2080</v>
      </c>
      <c r="G22" s="27">
        <f>+F22/C22</f>
        <v>10.4</v>
      </c>
      <c r="H22" s="26">
        <f>+F22+F23</f>
        <v>1680</v>
      </c>
      <c r="I22" s="27">
        <f>+H22/C22</f>
        <v>8.4</v>
      </c>
      <c r="J22" s="26">
        <f>+H22+H23</f>
        <v>1680</v>
      </c>
      <c r="K22" s="27">
        <f>+J22/C22</f>
        <v>8.4</v>
      </c>
      <c r="L22" s="26">
        <f>+J22+J23</f>
        <v>1680</v>
      </c>
      <c r="M22" s="27">
        <f>+L22/C22</f>
        <v>8.4</v>
      </c>
      <c r="N22" s="26">
        <f>+L22+L23</f>
        <v>1680</v>
      </c>
      <c r="O22" s="27">
        <f>+N22/C22</f>
        <v>8.4</v>
      </c>
      <c r="P22" s="26">
        <f>+N22+N23+1080</f>
        <v>2460</v>
      </c>
      <c r="Q22" s="27">
        <f>+P22/C22</f>
        <v>12.3</v>
      </c>
      <c r="R22" s="26">
        <f>+P22+P23</f>
        <v>2060</v>
      </c>
      <c r="S22" s="27">
        <f>+R22/C22</f>
        <v>10.3</v>
      </c>
      <c r="T22" s="26">
        <f>+R22+R23</f>
        <v>2060</v>
      </c>
      <c r="U22" s="27">
        <f>+T22/C22</f>
        <v>10.3</v>
      </c>
      <c r="V22" s="26">
        <f>+T22+T23</f>
        <v>2060</v>
      </c>
      <c r="W22" s="27">
        <f>+V22/C22</f>
        <v>10.3</v>
      </c>
      <c r="X22" s="26">
        <f>+V22+V23</f>
        <v>1460</v>
      </c>
      <c r="Y22" s="27">
        <f>+X22/C22</f>
        <v>7.3</v>
      </c>
      <c r="Z22" s="26">
        <f>+X22+X23</f>
        <v>1460</v>
      </c>
      <c r="AA22" s="65">
        <f>+Z22/C22</f>
        <v>7.3</v>
      </c>
      <c r="AB22" s="58">
        <f>+Z22+Z23</f>
        <v>1460</v>
      </c>
      <c r="AC22" s="59">
        <f>+C22*AA22</f>
        <v>1460</v>
      </c>
      <c r="AD22" s="13"/>
    </row>
    <row r="23" spans="1:30" ht="15.75" customHeight="1" x14ac:dyDescent="0.2">
      <c r="A23" s="42" t="s">
        <v>27</v>
      </c>
      <c r="B23" s="18">
        <v>0.55500000000000005</v>
      </c>
      <c r="C23" s="43">
        <f>+(+D23+F23+H23+J23+L23+N23+P23+R23+T23+V23+X23+Z23)/12</f>
        <v>-141.66666666666666</v>
      </c>
      <c r="D23" s="30">
        <v>0</v>
      </c>
      <c r="E23" s="31">
        <f>+B22*D23</f>
        <v>0</v>
      </c>
      <c r="F23" s="30">
        <v>-400</v>
      </c>
      <c r="G23" s="31">
        <f>+B22*F23</f>
        <v>-312</v>
      </c>
      <c r="H23" s="30">
        <v>0</v>
      </c>
      <c r="I23" s="31">
        <f>+B22*H23</f>
        <v>0</v>
      </c>
      <c r="J23" s="30">
        <v>0</v>
      </c>
      <c r="K23" s="31">
        <f>+B22*J23</f>
        <v>0</v>
      </c>
      <c r="L23" s="30">
        <v>0</v>
      </c>
      <c r="M23" s="31">
        <f>+B22*L23</f>
        <v>0</v>
      </c>
      <c r="N23" s="30">
        <v>-300</v>
      </c>
      <c r="O23" s="31">
        <f>+B22*N23</f>
        <v>-234</v>
      </c>
      <c r="P23" s="30">
        <v>-400</v>
      </c>
      <c r="Q23" s="31">
        <f>+B22*P23</f>
        <v>-312</v>
      </c>
      <c r="R23" s="30">
        <v>0</v>
      </c>
      <c r="S23" s="31">
        <f>+B22*R23</f>
        <v>0</v>
      </c>
      <c r="T23" s="30">
        <v>0</v>
      </c>
      <c r="U23" s="31">
        <f>+B22*T23</f>
        <v>0</v>
      </c>
      <c r="V23" s="30">
        <v>-600</v>
      </c>
      <c r="W23" s="31">
        <f>+B22*V23</f>
        <v>-468</v>
      </c>
      <c r="X23" s="30">
        <v>0</v>
      </c>
      <c r="Y23" s="31">
        <f>+B22*X23</f>
        <v>0</v>
      </c>
      <c r="Z23" s="30">
        <v>0</v>
      </c>
      <c r="AA23" s="31">
        <f>+B22*Z23</f>
        <v>0</v>
      </c>
      <c r="AB23" s="60">
        <f t="shared" ref="AB23:AC23" si="4">+D23+F23+H23+J23+L23+N23+P23+R23+T23+V23+X23+Z23</f>
        <v>-1700</v>
      </c>
      <c r="AC23" s="1">
        <f t="shared" si="4"/>
        <v>-1326</v>
      </c>
      <c r="AD23" s="19"/>
    </row>
    <row r="24" spans="1:30" ht="15.75" customHeight="1" x14ac:dyDescent="0.2">
      <c r="A24" s="66" t="s">
        <v>15</v>
      </c>
      <c r="B24" s="18"/>
      <c r="C24" s="43">
        <f>+(+D23+F23+H23+J23+L23+N23+P23+R23+T23+V23+X23+Z23)/12</f>
        <v>-141.66666666666666</v>
      </c>
      <c r="D24" s="30"/>
      <c r="E24" s="31">
        <v>0</v>
      </c>
      <c r="F24" s="30"/>
      <c r="G24" s="31">
        <v>400</v>
      </c>
      <c r="H24" s="30"/>
      <c r="I24" s="31">
        <v>0</v>
      </c>
      <c r="J24" s="30"/>
      <c r="K24" s="31">
        <v>0</v>
      </c>
      <c r="L24" s="30"/>
      <c r="M24" s="31">
        <v>0</v>
      </c>
      <c r="N24" s="30"/>
      <c r="O24" s="31">
        <v>420</v>
      </c>
      <c r="P24" s="30"/>
      <c r="Q24" s="31">
        <v>560</v>
      </c>
      <c r="R24" s="30"/>
      <c r="S24" s="31">
        <v>0</v>
      </c>
      <c r="T24" s="30"/>
      <c r="U24" s="31">
        <v>0</v>
      </c>
      <c r="V24" s="30"/>
      <c r="W24" s="31">
        <v>840</v>
      </c>
      <c r="X24" s="30"/>
      <c r="Y24" s="31">
        <v>0</v>
      </c>
      <c r="Z24" s="30"/>
      <c r="AA24" s="31">
        <v>0</v>
      </c>
      <c r="AB24" s="50"/>
      <c r="AC24" s="50">
        <f>+E24+G24+I24+K24+M24+O24+Q24+S24+U24+W24+Y24+AA24</f>
        <v>2220</v>
      </c>
      <c r="AD24" s="37">
        <v>0</v>
      </c>
    </row>
    <row r="25" spans="1:30" ht="15.75" customHeight="1" x14ac:dyDescent="0.2">
      <c r="A25" s="4" t="s">
        <v>163</v>
      </c>
      <c r="B25" s="34">
        <f>SUM(D24:Q24)/(+D23+F23+H23+J23+L23+N23+P23)</f>
        <v>-1.2545454545454546</v>
      </c>
      <c r="C25" s="64"/>
      <c r="D25" s="36"/>
      <c r="E25" s="37" t="e">
        <f>+E24/(+D23*-1)</f>
        <v>#DIV/0!</v>
      </c>
      <c r="F25" s="36"/>
      <c r="G25" s="37">
        <f>+G24/(+F23*-1)</f>
        <v>1</v>
      </c>
      <c r="H25" s="36"/>
      <c r="I25" s="37" t="e">
        <f>+I24/(+H23*-1)</f>
        <v>#DIV/0!</v>
      </c>
      <c r="J25" s="36"/>
      <c r="K25" s="37" t="e">
        <f>+K24/(+J23*-1)</f>
        <v>#DIV/0!</v>
      </c>
      <c r="L25" s="36"/>
      <c r="M25" s="37" t="e">
        <f>+M24/(+L23*-1)</f>
        <v>#DIV/0!</v>
      </c>
      <c r="N25" s="36"/>
      <c r="O25" s="37">
        <f>+O24/(+N23*-1)</f>
        <v>1.4</v>
      </c>
      <c r="P25" s="36"/>
      <c r="Q25" s="37">
        <f>+Q24/(+P23*-1)</f>
        <v>1.4</v>
      </c>
      <c r="R25" s="36"/>
      <c r="S25" s="37" t="e">
        <f>+S24/(+R23*-1)</f>
        <v>#DIV/0!</v>
      </c>
      <c r="T25" s="36"/>
      <c r="U25" s="37" t="e">
        <f>+U24/(+T23*-1)</f>
        <v>#DIV/0!</v>
      </c>
      <c r="V25" s="36"/>
      <c r="W25" s="37">
        <f>+W24/(+V23*-1)</f>
        <v>1.4</v>
      </c>
      <c r="X25" s="36"/>
      <c r="Y25" s="37" t="e">
        <f>+Y24/(+X23*-1)</f>
        <v>#DIV/0!</v>
      </c>
      <c r="Z25" s="36"/>
      <c r="AA25" s="37" t="e">
        <f>+AA24/(+Z23*-1)</f>
        <v>#DIV/0!</v>
      </c>
      <c r="AB25" s="1"/>
      <c r="AC25" s="1"/>
      <c r="AD25" s="31"/>
    </row>
    <row r="26" spans="1:30" ht="15.75" customHeight="1" x14ac:dyDescent="0.2">
      <c r="A26" s="40" t="s">
        <v>9</v>
      </c>
      <c r="B26" s="12">
        <v>0.62</v>
      </c>
      <c r="C26" s="13">
        <v>100</v>
      </c>
      <c r="D26" s="26">
        <v>1185</v>
      </c>
      <c r="E26" s="27">
        <f>+D26/C26</f>
        <v>11.85</v>
      </c>
      <c r="F26" s="26">
        <f>+D26+D27</f>
        <v>1185</v>
      </c>
      <c r="G26" s="27">
        <f>+F26/C26</f>
        <v>11.85</v>
      </c>
      <c r="H26" s="26">
        <f>+F26+F27</f>
        <v>985</v>
      </c>
      <c r="I26" s="27">
        <f>+H26/C26</f>
        <v>9.85</v>
      </c>
      <c r="J26" s="26">
        <f>+H26+H27</f>
        <v>985</v>
      </c>
      <c r="K26" s="27">
        <f>+J26/C26</f>
        <v>9.85</v>
      </c>
      <c r="L26" s="26">
        <f>+J26+J27</f>
        <v>985</v>
      </c>
      <c r="M26" s="27">
        <f>+L26/C26</f>
        <v>9.85</v>
      </c>
      <c r="N26" s="26">
        <f>+L26+L27</f>
        <v>985</v>
      </c>
      <c r="O26" s="27">
        <f>+N26/C26</f>
        <v>9.85</v>
      </c>
      <c r="P26" s="26">
        <f>+N26+N27+360</f>
        <v>1345</v>
      </c>
      <c r="Q26" s="27">
        <f>+P26/C26</f>
        <v>13.45</v>
      </c>
      <c r="R26" s="26">
        <f>+P26+P27</f>
        <v>1145</v>
      </c>
      <c r="S26" s="27">
        <f>+R26/C26</f>
        <v>11.45</v>
      </c>
      <c r="T26" s="26">
        <f>+R26+R27</f>
        <v>1145</v>
      </c>
      <c r="U26" s="27">
        <f>+T26/C26</f>
        <v>11.45</v>
      </c>
      <c r="V26" s="26">
        <f>+T26+T27</f>
        <v>1145</v>
      </c>
      <c r="W26" s="27">
        <f>+V26/C26</f>
        <v>11.45</v>
      </c>
      <c r="X26" s="26">
        <f>+V26+V27</f>
        <v>945</v>
      </c>
      <c r="Y26" s="27">
        <f>+X26/C26</f>
        <v>9.4499999999999993</v>
      </c>
      <c r="Z26" s="26">
        <f>+X26+X27</f>
        <v>945</v>
      </c>
      <c r="AA26" s="27">
        <f>+Z26/C26</f>
        <v>9.4499999999999993</v>
      </c>
      <c r="AB26" s="58">
        <f>+Z26+Z27</f>
        <v>945</v>
      </c>
      <c r="AC26" s="59">
        <f>+C26*AA26</f>
        <v>944.99999999999989</v>
      </c>
      <c r="AD26" s="13"/>
    </row>
    <row r="27" spans="1:30" ht="15.75" customHeight="1" x14ac:dyDescent="0.2">
      <c r="A27" s="66" t="s">
        <v>27</v>
      </c>
      <c r="B27" s="18" t="s">
        <v>229</v>
      </c>
      <c r="C27" s="43">
        <f>+(+D27+F27+H27+J27+L27+N27+P27+R27+T27+V27+X27+Z27)/12</f>
        <v>-50</v>
      </c>
      <c r="D27" s="30">
        <v>0</v>
      </c>
      <c r="E27" s="31">
        <f>+B26*D27</f>
        <v>0</v>
      </c>
      <c r="F27" s="30">
        <v>-200</v>
      </c>
      <c r="G27" s="31">
        <f>+B26*F27</f>
        <v>-124</v>
      </c>
      <c r="H27" s="30">
        <v>0</v>
      </c>
      <c r="I27" s="31">
        <f>+B26*H27</f>
        <v>0</v>
      </c>
      <c r="J27" s="30">
        <v>0</v>
      </c>
      <c r="K27" s="31">
        <f>+B26*J27</f>
        <v>0</v>
      </c>
      <c r="L27" s="30">
        <v>0</v>
      </c>
      <c r="M27" s="31">
        <f>+B26*L27</f>
        <v>0</v>
      </c>
      <c r="N27" s="26">
        <v>0</v>
      </c>
      <c r="O27" s="31">
        <f>+B26*N27</f>
        <v>0</v>
      </c>
      <c r="P27" s="30">
        <v>-200</v>
      </c>
      <c r="Q27" s="31">
        <f>+B26*P27</f>
        <v>-124</v>
      </c>
      <c r="R27" s="30">
        <v>0</v>
      </c>
      <c r="S27" s="31">
        <f>+B26*R27</f>
        <v>0</v>
      </c>
      <c r="T27" s="30">
        <v>0</v>
      </c>
      <c r="U27" s="31">
        <f>+B26*T27</f>
        <v>0</v>
      </c>
      <c r="V27" s="30">
        <v>-200</v>
      </c>
      <c r="W27" s="31">
        <f>+B26*V27</f>
        <v>-124</v>
      </c>
      <c r="X27" s="30">
        <v>0</v>
      </c>
      <c r="Y27" s="31">
        <f>+B26*X27</f>
        <v>0</v>
      </c>
      <c r="Z27" s="30">
        <v>0</v>
      </c>
      <c r="AA27" s="31">
        <f>+B26*Z27</f>
        <v>0</v>
      </c>
      <c r="AB27" s="60">
        <f t="shared" ref="AB27:AC27" si="5">+D27+F27+H27+J27+L27+N27+P27+R27+T27+V27+X27+Z27</f>
        <v>-600</v>
      </c>
      <c r="AC27" s="1">
        <f t="shared" si="5"/>
        <v>-372</v>
      </c>
      <c r="AD27" s="19"/>
    </row>
    <row r="28" spans="1:30" ht="15.75" customHeight="1" x14ac:dyDescent="0.2">
      <c r="A28" s="28" t="s">
        <v>15</v>
      </c>
      <c r="B28" s="18"/>
      <c r="C28" s="43">
        <f>+(+D27+F27+H27+J27+L27+N27+P27+R27+T27+V27+X27)/11</f>
        <v>-54.545454545454547</v>
      </c>
      <c r="D28" s="30"/>
      <c r="E28" s="31">
        <v>0</v>
      </c>
      <c r="F28" s="30"/>
      <c r="G28" s="31">
        <v>200</v>
      </c>
      <c r="H28" s="30"/>
      <c r="I28" s="31">
        <v>0</v>
      </c>
      <c r="J28" s="30"/>
      <c r="K28" s="31">
        <v>0</v>
      </c>
      <c r="L28" s="30"/>
      <c r="M28" s="31">
        <v>0</v>
      </c>
      <c r="N28" s="30"/>
      <c r="O28" s="31">
        <v>0</v>
      </c>
      <c r="P28" s="30"/>
      <c r="Q28" s="31">
        <v>240</v>
      </c>
      <c r="R28" s="30"/>
      <c r="S28" s="31">
        <v>0</v>
      </c>
      <c r="T28" s="30"/>
      <c r="U28" s="31">
        <v>0</v>
      </c>
      <c r="V28" s="30"/>
      <c r="W28" s="31">
        <v>0</v>
      </c>
      <c r="X28" s="30"/>
      <c r="Y28" s="31">
        <v>0</v>
      </c>
      <c r="Z28" s="30"/>
      <c r="AA28" s="31">
        <v>0</v>
      </c>
      <c r="AB28" s="50"/>
      <c r="AC28" s="50">
        <f>+E28+G28+I28+K28+M28+O28+Q28+S28+U28+W28+Y28+AA28</f>
        <v>440</v>
      </c>
      <c r="AD28" s="37">
        <v>0</v>
      </c>
    </row>
    <row r="29" spans="1:30" ht="15.75" customHeight="1" x14ac:dyDescent="0.2">
      <c r="A29" s="97" t="s">
        <v>163</v>
      </c>
      <c r="B29" s="34">
        <f>SUM(D28:Q28)/(+D27+F27+H27+J27+L27+N27+P27)</f>
        <v>-1.1000000000000001</v>
      </c>
      <c r="C29" s="64"/>
      <c r="D29" s="36"/>
      <c r="E29" s="37" t="e">
        <f>+E28/(+D27*-1)</f>
        <v>#DIV/0!</v>
      </c>
      <c r="F29" s="36"/>
      <c r="G29" s="37">
        <f>+G28/(+F27*-1)</f>
        <v>1</v>
      </c>
      <c r="H29" s="36"/>
      <c r="I29" s="37" t="e">
        <f>+I28/(+H27*-1)</f>
        <v>#DIV/0!</v>
      </c>
      <c r="J29" s="36"/>
      <c r="K29" s="37" t="e">
        <f>+K28/(+J27*-1)</f>
        <v>#DIV/0!</v>
      </c>
      <c r="L29" s="36"/>
      <c r="M29" s="37" t="e">
        <f>+M28/(+L27*-1)</f>
        <v>#DIV/0!</v>
      </c>
      <c r="N29" s="36"/>
      <c r="O29" s="37" t="e">
        <f>+O28/(+N27*-1)</f>
        <v>#DIV/0!</v>
      </c>
      <c r="P29" s="36"/>
      <c r="Q29" s="37">
        <f>+Q28/(+P27*-1)</f>
        <v>1.2</v>
      </c>
      <c r="R29" s="36"/>
      <c r="S29" s="37" t="e">
        <f>+S28/(+R27*-1)</f>
        <v>#DIV/0!</v>
      </c>
      <c r="T29" s="36"/>
      <c r="U29" s="37" t="e">
        <f>+U28/(+T27*-1)</f>
        <v>#DIV/0!</v>
      </c>
      <c r="V29" s="36"/>
      <c r="W29" s="37">
        <f>+W28/(+V27*-1)</f>
        <v>0</v>
      </c>
      <c r="X29" s="36"/>
      <c r="Y29" s="37" t="e">
        <f>+Y28/(+X27*-1)</f>
        <v>#DIV/0!</v>
      </c>
      <c r="Z29" s="36"/>
      <c r="AA29" s="37" t="e">
        <f>+AA28/(+Z27*-1)</f>
        <v>#DIV/0!</v>
      </c>
      <c r="AB29" s="1"/>
      <c r="AC29" s="1"/>
      <c r="AD29" s="1"/>
    </row>
    <row r="30" spans="1:30" ht="15.75" customHeight="1" x14ac:dyDescent="0.2">
      <c r="A30" s="67"/>
      <c r="B30" s="18"/>
      <c r="C30" s="19"/>
      <c r="D30" s="30"/>
      <c r="E30" s="32"/>
      <c r="F30" s="30"/>
      <c r="G30" s="32"/>
      <c r="H30" s="30"/>
      <c r="I30" s="32"/>
      <c r="J30" s="30"/>
      <c r="K30" s="32"/>
      <c r="L30" s="30"/>
      <c r="M30" s="32"/>
      <c r="N30" s="30"/>
      <c r="O30" s="32"/>
      <c r="P30" s="30"/>
      <c r="Q30" s="32"/>
      <c r="R30" s="30"/>
      <c r="S30" s="32"/>
      <c r="T30" s="30"/>
      <c r="U30" s="32"/>
      <c r="V30" s="30"/>
      <c r="W30" s="32"/>
      <c r="X30" s="30"/>
      <c r="Y30" s="32"/>
      <c r="Z30" s="30"/>
      <c r="AA30" s="32"/>
      <c r="AB30" s="3"/>
    </row>
    <row r="31" spans="1:30" ht="15.75" customHeight="1" x14ac:dyDescent="0.2">
      <c r="A31" s="25" t="s">
        <v>10</v>
      </c>
      <c r="B31" s="12">
        <f>0.852+0.377</f>
        <v>1.2290000000000001</v>
      </c>
      <c r="C31" s="13">
        <v>350</v>
      </c>
      <c r="D31" s="26">
        <v>3518</v>
      </c>
      <c r="E31" s="27">
        <f>+D31/C31</f>
        <v>10.051428571428572</v>
      </c>
      <c r="F31" s="26">
        <f>+D31+D32</f>
        <v>2518</v>
      </c>
      <c r="G31" s="27">
        <f>+F31/C31</f>
        <v>7.194285714285714</v>
      </c>
      <c r="H31" s="26">
        <f>+F31+F32</f>
        <v>2518</v>
      </c>
      <c r="I31" s="27">
        <f>+H31/C31</f>
        <v>7.194285714285714</v>
      </c>
      <c r="J31" s="26">
        <f>+H31+H32</f>
        <v>2518</v>
      </c>
      <c r="K31" s="27">
        <f>+J31/C31</f>
        <v>7.194285714285714</v>
      </c>
      <c r="L31" s="26">
        <f>+J31+J32</f>
        <v>2518</v>
      </c>
      <c r="M31" s="27">
        <f>+L31/C31</f>
        <v>7.194285714285714</v>
      </c>
      <c r="N31" s="26">
        <f>+L31+L32</f>
        <v>1518</v>
      </c>
      <c r="O31" s="80">
        <f>+N31/C31</f>
        <v>4.3371428571428572</v>
      </c>
      <c r="P31" s="26">
        <f>+N31+N32+1920</f>
        <v>3438</v>
      </c>
      <c r="Q31" s="27">
        <f>+P31/C31</f>
        <v>9.8228571428571421</v>
      </c>
      <c r="R31" s="26">
        <f>+P31+P32</f>
        <v>2438</v>
      </c>
      <c r="S31" s="27">
        <f>+R31/C31</f>
        <v>6.9657142857142853</v>
      </c>
      <c r="T31" s="26">
        <f>+R31+R32</f>
        <v>2438</v>
      </c>
      <c r="U31" s="27">
        <f>+T31/C31</f>
        <v>6.9657142857142853</v>
      </c>
      <c r="V31" s="26">
        <f>+T31+T32</f>
        <v>2438</v>
      </c>
      <c r="W31" s="80">
        <f>+V31/C31</f>
        <v>6.9657142857142853</v>
      </c>
      <c r="X31" s="26">
        <f>+V31+V32+2880</f>
        <v>4318</v>
      </c>
      <c r="Y31" s="27">
        <f>+X31/C31</f>
        <v>12.337142857142856</v>
      </c>
      <c r="Z31" s="26">
        <f>+X31+X32</f>
        <v>4318</v>
      </c>
      <c r="AA31" s="27">
        <f>+Z31/C31</f>
        <v>12.337142857142856</v>
      </c>
      <c r="AB31" s="58"/>
      <c r="AC31" s="59">
        <f>+C31*AA31</f>
        <v>4318</v>
      </c>
      <c r="AD31" s="13"/>
    </row>
    <row r="32" spans="1:30" ht="15.75" customHeight="1" x14ac:dyDescent="0.2">
      <c r="A32" s="28" t="s">
        <v>27</v>
      </c>
      <c r="B32" s="18">
        <v>0.85199999999999998</v>
      </c>
      <c r="C32" s="43">
        <f>+(+D32+F32+H32+J32+L32+N32+P32+R32+T32+V32+X32+Z32)/12</f>
        <v>-333.33333333333331</v>
      </c>
      <c r="D32" s="30">
        <v>-1000</v>
      </c>
      <c r="E32" s="31">
        <f>+B31*D32</f>
        <v>-1229</v>
      </c>
      <c r="F32" s="30">
        <v>0</v>
      </c>
      <c r="G32" s="31">
        <f>+B31*F32</f>
        <v>0</v>
      </c>
      <c r="H32" s="30">
        <v>0</v>
      </c>
      <c r="I32" s="31">
        <f>+B31*H32</f>
        <v>0</v>
      </c>
      <c r="J32" s="30">
        <v>0</v>
      </c>
      <c r="K32" s="31">
        <f>+B31*J32</f>
        <v>0</v>
      </c>
      <c r="L32" s="30">
        <v>-1000</v>
      </c>
      <c r="M32" s="31">
        <f>+B31*L32</f>
        <v>-1229</v>
      </c>
      <c r="N32" s="30">
        <v>0</v>
      </c>
      <c r="O32" s="31">
        <f>+B31*N32</f>
        <v>0</v>
      </c>
      <c r="P32" s="30">
        <v>-1000</v>
      </c>
      <c r="Q32" s="31">
        <f>+B31*P32</f>
        <v>-1229</v>
      </c>
      <c r="R32" s="30">
        <v>0</v>
      </c>
      <c r="S32" s="31">
        <f>+B31*R32</f>
        <v>0</v>
      </c>
      <c r="T32" s="30">
        <v>0</v>
      </c>
      <c r="U32" s="31">
        <f>+B31*T32</f>
        <v>0</v>
      </c>
      <c r="V32" s="30">
        <v>-1000</v>
      </c>
      <c r="W32" s="31">
        <f>+B31*V32</f>
        <v>-1229</v>
      </c>
      <c r="X32" s="30">
        <v>0</v>
      </c>
      <c r="Y32" s="31">
        <f>+B31*X32</f>
        <v>0</v>
      </c>
      <c r="Z32" s="30">
        <v>0</v>
      </c>
      <c r="AA32" s="31">
        <f>+B31*Z32</f>
        <v>0</v>
      </c>
      <c r="AB32" s="60">
        <f t="shared" ref="AB32:AC32" si="6">+D32+F32+H32+J32+L32+N32+P32+R32+T32+V32+X32+Z32</f>
        <v>-4000</v>
      </c>
      <c r="AC32" s="1">
        <f t="shared" si="6"/>
        <v>-4916</v>
      </c>
      <c r="AD32" s="19"/>
    </row>
    <row r="33" spans="1:33" ht="15.75" customHeight="1" x14ac:dyDescent="0.2">
      <c r="A33" s="42" t="s">
        <v>15</v>
      </c>
      <c r="B33" s="18"/>
      <c r="C33" s="43">
        <f>+(+D32+F32+H32+J32+L32+N32+P32+R32+T32+V32+X32+Z32)/12</f>
        <v>-333.33333333333331</v>
      </c>
      <c r="D33" s="30"/>
      <c r="E33" s="31">
        <v>3700</v>
      </c>
      <c r="F33" s="30"/>
      <c r="G33" s="31">
        <v>0</v>
      </c>
      <c r="H33" s="30"/>
      <c r="I33" s="31">
        <v>0</v>
      </c>
      <c r="J33" s="30"/>
      <c r="K33" s="31">
        <v>0</v>
      </c>
      <c r="L33" s="30"/>
      <c r="M33" s="31">
        <v>3700</v>
      </c>
      <c r="N33" s="30"/>
      <c r="O33" s="31">
        <v>0</v>
      </c>
      <c r="P33" s="30"/>
      <c r="Q33" s="31">
        <v>3700</v>
      </c>
      <c r="R33" s="30"/>
      <c r="S33" s="31">
        <v>0</v>
      </c>
      <c r="T33" s="30"/>
      <c r="U33" s="31">
        <v>0</v>
      </c>
      <c r="V33" s="30"/>
      <c r="W33" s="31">
        <v>3700</v>
      </c>
      <c r="X33" s="30"/>
      <c r="Y33" s="31">
        <v>0</v>
      </c>
      <c r="Z33" s="30"/>
      <c r="AA33" s="31">
        <v>0</v>
      </c>
      <c r="AB33" s="50"/>
      <c r="AC33" s="50">
        <f>+E33+G33+I33+K33+M33+O33+Q33+S33+U33+W33+Y33+AA33</f>
        <v>14800</v>
      </c>
      <c r="AD33" s="37">
        <v>0</v>
      </c>
    </row>
    <row r="34" spans="1:33" ht="15.75" customHeight="1" x14ac:dyDescent="0.2">
      <c r="A34" s="28"/>
      <c r="B34" s="34">
        <f>SUM(D33:Q33)/(+D32+F32+H32+J32+L32+N32+P32)</f>
        <v>-3.7</v>
      </c>
      <c r="C34" s="64"/>
      <c r="D34" s="36"/>
      <c r="E34" s="37">
        <f>+E33/(+D32*-1)</f>
        <v>3.7</v>
      </c>
      <c r="F34" s="36"/>
      <c r="G34" s="37" t="e">
        <f>+G33/(+F32*-1)</f>
        <v>#DIV/0!</v>
      </c>
      <c r="H34" s="36"/>
      <c r="I34" s="37" t="e">
        <f>+I33/(+H32*-1)</f>
        <v>#DIV/0!</v>
      </c>
      <c r="J34" s="36"/>
      <c r="K34" s="37" t="e">
        <f>+K33/(+J32*-1)</f>
        <v>#DIV/0!</v>
      </c>
      <c r="L34" s="36"/>
      <c r="M34" s="37">
        <f>+M33/(+L32*-1)</f>
        <v>3.7</v>
      </c>
      <c r="N34" s="36"/>
      <c r="O34" s="37" t="e">
        <f>+O33/(+N32*-1)</f>
        <v>#DIV/0!</v>
      </c>
      <c r="P34" s="36"/>
      <c r="Q34" s="37">
        <f>+Q33/(+P32*-1)</f>
        <v>3.7</v>
      </c>
      <c r="R34" s="36"/>
      <c r="S34" s="37" t="e">
        <f>+S33/(+R32*-1)</f>
        <v>#DIV/0!</v>
      </c>
      <c r="T34" s="36"/>
      <c r="U34" s="37" t="e">
        <f>+U33/(+T32*-1)</f>
        <v>#DIV/0!</v>
      </c>
      <c r="V34" s="36"/>
      <c r="W34" s="37">
        <f>+W33/(+V32*-1)</f>
        <v>3.7</v>
      </c>
      <c r="X34" s="36"/>
      <c r="Y34" s="37" t="e">
        <f>+Y33/(+X32*-1)</f>
        <v>#DIV/0!</v>
      </c>
      <c r="Z34" s="36"/>
      <c r="AA34" s="37" t="e">
        <f>+AA33/(+Z32*-1)</f>
        <v>#DIV/0!</v>
      </c>
      <c r="AB34" s="1"/>
      <c r="AC34" s="1"/>
      <c r="AD34" s="31"/>
    </row>
    <row r="35" spans="1:33" ht="15.75" customHeight="1" x14ac:dyDescent="0.2">
      <c r="A35" s="28" t="s">
        <v>11</v>
      </c>
      <c r="B35" s="12">
        <f>1.118+0.377</f>
        <v>1.4950000000000001</v>
      </c>
      <c r="C35" s="13">
        <v>700</v>
      </c>
      <c r="D35" s="26">
        <v>6150</v>
      </c>
      <c r="E35" s="27">
        <f>+D35/C35</f>
        <v>8.7857142857142865</v>
      </c>
      <c r="F35" s="26">
        <f>+D35+D36</f>
        <v>5150</v>
      </c>
      <c r="G35" s="27">
        <f>+F35/C35</f>
        <v>7.3571428571428568</v>
      </c>
      <c r="H35" s="26">
        <f>+F35+F36</f>
        <v>5150</v>
      </c>
      <c r="I35" s="27">
        <f>+H35/C35</f>
        <v>7.3571428571428568</v>
      </c>
      <c r="J35" s="26">
        <f>+H35+H36</f>
        <v>4150</v>
      </c>
      <c r="K35" s="27">
        <f>+J35/C35</f>
        <v>5.9285714285714288</v>
      </c>
      <c r="L35" s="26">
        <f>+J35+J36</f>
        <v>3150</v>
      </c>
      <c r="M35" s="80">
        <f>+L35/C35</f>
        <v>4.5</v>
      </c>
      <c r="N35" s="26">
        <f>+L35+L36</f>
        <v>2150</v>
      </c>
      <c r="O35" s="80">
        <f>+N35/C35</f>
        <v>3.0714285714285716</v>
      </c>
      <c r="P35" s="26">
        <f>+N35+N36+3360</f>
        <v>5510</v>
      </c>
      <c r="Q35" s="27">
        <f>+P35/C35</f>
        <v>7.871428571428571</v>
      </c>
      <c r="R35" s="26">
        <f>+P35+P36</f>
        <v>4510</v>
      </c>
      <c r="S35" s="27">
        <f>+R35/C35</f>
        <v>6.4428571428571431</v>
      </c>
      <c r="T35" s="26">
        <f>+R35+R36</f>
        <v>3510</v>
      </c>
      <c r="U35" s="80">
        <f>+T35/C35</f>
        <v>5.0142857142857142</v>
      </c>
      <c r="V35" s="26">
        <f>+T35+T36</f>
        <v>3510</v>
      </c>
      <c r="W35" s="80">
        <f>+V35/C35</f>
        <v>5.0142857142857142</v>
      </c>
      <c r="X35" s="26">
        <f>+V35+V36+4800</f>
        <v>7310</v>
      </c>
      <c r="Y35" s="27">
        <f>+X35/C35</f>
        <v>10.442857142857143</v>
      </c>
      <c r="Z35" s="26">
        <f>+X35+X36</f>
        <v>6310</v>
      </c>
      <c r="AA35" s="27">
        <f>+Z35/C35</f>
        <v>9.0142857142857142</v>
      </c>
      <c r="AB35" s="58"/>
      <c r="AC35" s="59">
        <f>+C35*AA35</f>
        <v>6310</v>
      </c>
      <c r="AD35" s="13"/>
    </row>
    <row r="36" spans="1:33" ht="15.75" customHeight="1" x14ac:dyDescent="0.2">
      <c r="A36" s="28" t="s">
        <v>27</v>
      </c>
      <c r="B36" s="18">
        <v>1.1180000000000001</v>
      </c>
      <c r="C36" s="43">
        <f>+(+D36+F36+H36+J36+L36+N36+P36+R36+T36+V36+X36+Z36)/12</f>
        <v>-666.66666666666663</v>
      </c>
      <c r="D36" s="30">
        <v>-1000</v>
      </c>
      <c r="E36" s="31">
        <f>+B35*D36</f>
        <v>-1495</v>
      </c>
      <c r="F36" s="30">
        <v>0</v>
      </c>
      <c r="G36" s="31">
        <f>+B35*F36</f>
        <v>0</v>
      </c>
      <c r="H36" s="30">
        <v>-1000</v>
      </c>
      <c r="I36" s="31">
        <f>+B35*H36</f>
        <v>-1495</v>
      </c>
      <c r="J36" s="30">
        <v>-1000</v>
      </c>
      <c r="K36" s="31">
        <f>+B35*J36</f>
        <v>-1495</v>
      </c>
      <c r="L36" s="30">
        <v>-1000</v>
      </c>
      <c r="M36" s="31">
        <f>+B35*L36</f>
        <v>-1495</v>
      </c>
      <c r="N36" s="30">
        <v>0</v>
      </c>
      <c r="O36" s="31">
        <f>+B35*N36</f>
        <v>0</v>
      </c>
      <c r="P36" s="30">
        <v>-1000</v>
      </c>
      <c r="Q36" s="31">
        <f>+B35*P36</f>
        <v>-1495</v>
      </c>
      <c r="R36" s="30">
        <v>-1000</v>
      </c>
      <c r="S36" s="31">
        <f>+B35*R36</f>
        <v>-1495</v>
      </c>
      <c r="T36" s="30">
        <v>0</v>
      </c>
      <c r="U36" s="31">
        <f>+B35*T36</f>
        <v>0</v>
      </c>
      <c r="V36" s="30">
        <v>-1000</v>
      </c>
      <c r="W36" s="31">
        <f>+B35*V36</f>
        <v>-1495</v>
      </c>
      <c r="X36" s="30">
        <v>-1000</v>
      </c>
      <c r="Y36" s="31">
        <f>+B35*X36</f>
        <v>-1495</v>
      </c>
      <c r="Z36" s="30">
        <v>0</v>
      </c>
      <c r="AA36" s="31">
        <f>+B35*Z36</f>
        <v>0</v>
      </c>
      <c r="AB36" s="60">
        <f t="shared" ref="AB36:AC36" si="7">+D36+F36+H36+J36+L36+N36+P36+R36+T36+V36+X36+Z36</f>
        <v>-8000</v>
      </c>
      <c r="AC36" s="1">
        <f t="shared" si="7"/>
        <v>-11960</v>
      </c>
      <c r="AD36" s="19"/>
    </row>
    <row r="37" spans="1:33" ht="15.75" customHeight="1" x14ac:dyDescent="0.2">
      <c r="A37" s="42" t="s">
        <v>15</v>
      </c>
      <c r="B37" s="18"/>
      <c r="C37" s="43">
        <f>+(+D36+F36+H36+J36+L36+N36+P36+R36+T36+V36+X36+Z36)/12</f>
        <v>-666.66666666666663</v>
      </c>
      <c r="D37" s="30"/>
      <c r="E37" s="31">
        <v>3700</v>
      </c>
      <c r="F37" s="30"/>
      <c r="G37" s="31">
        <v>0</v>
      </c>
      <c r="H37" s="30"/>
      <c r="I37" s="31">
        <v>3700</v>
      </c>
      <c r="J37" s="30"/>
      <c r="K37" s="31">
        <v>3700</v>
      </c>
      <c r="L37" s="30"/>
      <c r="M37" s="31">
        <v>3700</v>
      </c>
      <c r="N37" s="30"/>
      <c r="O37" s="31">
        <v>0</v>
      </c>
      <c r="P37" s="30"/>
      <c r="Q37" s="31">
        <v>3700</v>
      </c>
      <c r="R37" s="30"/>
      <c r="S37" s="31">
        <v>3700</v>
      </c>
      <c r="T37" s="30"/>
      <c r="U37" s="31">
        <v>0</v>
      </c>
      <c r="V37" s="30"/>
      <c r="W37" s="31">
        <v>3700</v>
      </c>
      <c r="X37" s="30"/>
      <c r="Y37" s="31">
        <v>3700</v>
      </c>
      <c r="Z37" s="30"/>
      <c r="AA37" s="31">
        <v>0</v>
      </c>
      <c r="AB37" s="50"/>
      <c r="AC37" s="50">
        <f>+E37+G37+I37+K37+M37+O37+Q37+S37+U37+W37+Y37+AA37</f>
        <v>29600</v>
      </c>
      <c r="AD37" s="37">
        <v>0</v>
      </c>
    </row>
    <row r="38" spans="1:33" ht="15.75" customHeight="1" x14ac:dyDescent="0.2">
      <c r="B38" s="34">
        <f>SUM(D37:Q37)/(+D36+F36+H36+J36+L36+N36+P36)</f>
        <v>-3.7</v>
      </c>
      <c r="C38" s="64"/>
      <c r="D38" s="36"/>
      <c r="E38" s="37">
        <f>+E37/(+D36*-1)</f>
        <v>3.7</v>
      </c>
      <c r="F38" s="36"/>
      <c r="G38" s="37" t="e">
        <f>+G37/(+F36*-1)</f>
        <v>#DIV/0!</v>
      </c>
      <c r="H38" s="36"/>
      <c r="I38" s="37">
        <f>+I37/(+H36*-1)</f>
        <v>3.7</v>
      </c>
      <c r="J38" s="36"/>
      <c r="K38" s="37">
        <f>+K37/(+J36*-1)</f>
        <v>3.7</v>
      </c>
      <c r="L38" s="36"/>
      <c r="M38" s="37">
        <f>+M37/(+L36*-1)</f>
        <v>3.7</v>
      </c>
      <c r="N38" s="36"/>
      <c r="O38" s="37" t="e">
        <f>+O37/(+N36*-1)</f>
        <v>#DIV/0!</v>
      </c>
      <c r="P38" s="36"/>
      <c r="Q38" s="37">
        <f>+Q37/(+P36*-1)</f>
        <v>3.7</v>
      </c>
      <c r="R38" s="36"/>
      <c r="S38" s="37">
        <f>+S37/(+R36*-1)</f>
        <v>3.7</v>
      </c>
      <c r="T38" s="36"/>
      <c r="U38" s="37" t="e">
        <f>+U37/(+T36*-1)</f>
        <v>#DIV/0!</v>
      </c>
      <c r="V38" s="36"/>
      <c r="W38" s="37">
        <f>+W37/(+V36*-1)</f>
        <v>3.7</v>
      </c>
      <c r="X38" s="36"/>
      <c r="Y38" s="37">
        <f>+Y37/(+X36*-1)</f>
        <v>3.7</v>
      </c>
      <c r="Z38" s="36"/>
      <c r="AA38" s="37" t="e">
        <f>+AA37/(+Z36*-1)</f>
        <v>#DIV/0!</v>
      </c>
      <c r="AB38" s="1"/>
      <c r="AC38" s="1">
        <f>+AC37/(+AB36*-1)</f>
        <v>3.7</v>
      </c>
      <c r="AD38" s="1"/>
      <c r="AE38" s="4" t="e">
        <f>+AE37/(+AD36*-1)</f>
        <v>#DIV/0!</v>
      </c>
      <c r="AG38" s="4" t="e">
        <f>+AG37/(+AF36*-1)</f>
        <v>#DIV/0!</v>
      </c>
    </row>
    <row r="39" spans="1:33" ht="15.75" customHeight="1" x14ac:dyDescent="0.2">
      <c r="A39" s="59"/>
      <c r="B39" s="18"/>
      <c r="C39" s="19"/>
      <c r="D39" s="30"/>
      <c r="E39" s="32"/>
      <c r="F39" s="30"/>
      <c r="G39" s="32"/>
      <c r="H39" s="30"/>
      <c r="I39" s="32"/>
      <c r="J39" s="30"/>
      <c r="K39" s="32"/>
      <c r="L39" s="30"/>
      <c r="M39" s="32"/>
      <c r="N39" s="30"/>
      <c r="O39" s="32"/>
      <c r="P39" s="30"/>
      <c r="Q39" s="32"/>
      <c r="R39" s="30"/>
      <c r="S39" s="32"/>
      <c r="T39" s="30"/>
      <c r="U39" s="32"/>
      <c r="V39" s="30"/>
      <c r="W39" s="32"/>
      <c r="X39" s="30"/>
      <c r="Y39" s="32"/>
      <c r="Z39" s="30"/>
      <c r="AA39" s="32"/>
      <c r="AB39" s="3"/>
    </row>
    <row r="40" spans="1:33" ht="15.75" customHeight="1" x14ac:dyDescent="0.2">
      <c r="A40" s="25" t="s">
        <v>12</v>
      </c>
      <c r="B40" s="12">
        <f>2.06+0.78</f>
        <v>2.84</v>
      </c>
      <c r="C40" s="13">
        <v>350</v>
      </c>
      <c r="D40" s="59">
        <v>4630</v>
      </c>
      <c r="E40" s="27">
        <f>+D40/C40</f>
        <v>13.228571428571428</v>
      </c>
      <c r="F40" s="26">
        <f>+D40+D41</f>
        <v>3570</v>
      </c>
      <c r="G40" s="27">
        <f>+F40/C40</f>
        <v>10.199999999999999</v>
      </c>
      <c r="H40" s="26">
        <f>+F40+F41</f>
        <v>2570</v>
      </c>
      <c r="I40" s="27">
        <f>+H40/C40</f>
        <v>7.3428571428571425</v>
      </c>
      <c r="J40" s="26">
        <f>+H40+H41</f>
        <v>2520</v>
      </c>
      <c r="K40" s="27">
        <f>+J40/C40</f>
        <v>7.2</v>
      </c>
      <c r="L40" s="26">
        <f>+J40+J41</f>
        <v>1470</v>
      </c>
      <c r="M40" s="80">
        <f>+L40/C40</f>
        <v>4.2</v>
      </c>
      <c r="N40" s="26">
        <f>+L40+L41+6188</f>
        <v>7458</v>
      </c>
      <c r="O40" s="27">
        <f>+N40/C40</f>
        <v>21.30857142857143</v>
      </c>
      <c r="P40" s="26">
        <f>+N40+N41</f>
        <v>6408</v>
      </c>
      <c r="Q40" s="27">
        <f>+P40/C40</f>
        <v>18.30857142857143</v>
      </c>
      <c r="R40" s="26">
        <f>+P40+P41</f>
        <v>6233</v>
      </c>
      <c r="S40" s="27">
        <f>+R40/C40</f>
        <v>17.80857142857143</v>
      </c>
      <c r="T40" s="26">
        <f>+R40+R41</f>
        <v>6183</v>
      </c>
      <c r="U40" s="27">
        <f>+T40/C40</f>
        <v>17.665714285714287</v>
      </c>
      <c r="V40" s="26">
        <f>+T40+T41</f>
        <v>5133</v>
      </c>
      <c r="W40" s="27">
        <f>+V40/C40</f>
        <v>14.665714285714285</v>
      </c>
      <c r="X40" s="26">
        <f>+V40+V41</f>
        <v>5133</v>
      </c>
      <c r="Y40" s="27">
        <f>+X40/C40</f>
        <v>14.665714285714285</v>
      </c>
      <c r="Z40" s="26">
        <f>+X40+X41</f>
        <v>4133</v>
      </c>
      <c r="AA40" s="27">
        <f>+Z40/C40</f>
        <v>11.808571428571428</v>
      </c>
      <c r="AB40" s="58">
        <f>+Z40+Z41</f>
        <v>3838</v>
      </c>
      <c r="AC40" s="59">
        <f>+C40*AA40</f>
        <v>4133</v>
      </c>
      <c r="AD40" s="13"/>
    </row>
    <row r="41" spans="1:33" ht="15.75" customHeight="1" x14ac:dyDescent="0.2">
      <c r="A41" s="28" t="s">
        <v>27</v>
      </c>
      <c r="B41" s="18">
        <v>2.06</v>
      </c>
      <c r="C41" s="43">
        <f>+(+D41+F41+H41+J41+L41+N41+P41+R41+T41+V41+X41+Z41)/12</f>
        <v>-581.66666666666663</v>
      </c>
      <c r="D41" s="4">
        <v>-1060</v>
      </c>
      <c r="E41" s="31">
        <f>+B40*D41</f>
        <v>-3010.3999999999996</v>
      </c>
      <c r="F41" s="30">
        <v>-1000</v>
      </c>
      <c r="G41" s="31">
        <f>+B40*F41</f>
        <v>-2840</v>
      </c>
      <c r="H41" s="30">
        <v>-50</v>
      </c>
      <c r="I41" s="31">
        <f>+B40*H41</f>
        <v>-142</v>
      </c>
      <c r="J41" s="30">
        <v>-1050</v>
      </c>
      <c r="K41" s="31">
        <f>+B40*J41</f>
        <v>-2982</v>
      </c>
      <c r="L41" s="30">
        <v>-200</v>
      </c>
      <c r="M41" s="31">
        <f>+B40*L41</f>
        <v>-568</v>
      </c>
      <c r="N41" s="30">
        <v>-1050</v>
      </c>
      <c r="O41" s="31">
        <f>+B40*N41</f>
        <v>-2982</v>
      </c>
      <c r="P41" s="30">
        <v>-175</v>
      </c>
      <c r="Q41" s="31">
        <f>+B40*P41</f>
        <v>-497</v>
      </c>
      <c r="R41" s="30">
        <v>-50</v>
      </c>
      <c r="S41" s="31">
        <f>+B40*R41</f>
        <v>-142</v>
      </c>
      <c r="T41" s="30">
        <v>-1050</v>
      </c>
      <c r="U41" s="31">
        <f>+B40*T41</f>
        <v>-2982</v>
      </c>
      <c r="V41" s="30">
        <v>0</v>
      </c>
      <c r="W41" s="31">
        <f>+B40*V41</f>
        <v>0</v>
      </c>
      <c r="X41" s="30">
        <v>-1000</v>
      </c>
      <c r="Y41" s="31">
        <f>+B40*X41</f>
        <v>-2840</v>
      </c>
      <c r="Z41" s="30">
        <v>-295</v>
      </c>
      <c r="AA41" s="31">
        <f>+B40*Z41</f>
        <v>-837.8</v>
      </c>
      <c r="AB41" s="60">
        <f t="shared" ref="AB41:AC41" si="8">+D41+F41+H41+J41+L41+N41+P41+R41+T41+V41+X41+Z41</f>
        <v>-6980</v>
      </c>
      <c r="AC41" s="1">
        <f t="shared" si="8"/>
        <v>-19823.2</v>
      </c>
      <c r="AD41" s="19"/>
    </row>
    <row r="42" spans="1:33" ht="15.75" customHeight="1" x14ac:dyDescent="0.2">
      <c r="A42" s="66" t="s">
        <v>15</v>
      </c>
      <c r="B42" s="6"/>
      <c r="C42" s="43">
        <f>+(+D41+F41+H41+J41+L41+N41+P41+R41+T41+V41+X41+Z41)/12</f>
        <v>-581.66666666666663</v>
      </c>
      <c r="E42" s="31">
        <v>4069</v>
      </c>
      <c r="G42" s="5">
        <v>5340</v>
      </c>
      <c r="I42" s="31">
        <v>307.5</v>
      </c>
      <c r="K42" s="5">
        <v>5647.5</v>
      </c>
      <c r="M42" s="31">
        <v>1677.5</v>
      </c>
      <c r="O42" s="31">
        <v>5647.5</v>
      </c>
      <c r="Q42" s="31">
        <v>1198.75</v>
      </c>
      <c r="S42" s="31">
        <v>307.5</v>
      </c>
      <c r="U42" s="31">
        <v>5647.5</v>
      </c>
      <c r="W42" s="31">
        <v>0</v>
      </c>
      <c r="Y42" s="31">
        <v>5340</v>
      </c>
      <c r="AA42" s="31">
        <v>2020.75</v>
      </c>
      <c r="AB42" s="50"/>
      <c r="AC42" s="50">
        <f>+E42+G42+I42+K42+M42+O42+Q42+S42+U42+W42+Y42+AA42</f>
        <v>37203.5</v>
      </c>
      <c r="AD42" s="37">
        <v>0</v>
      </c>
    </row>
    <row r="43" spans="1:33" ht="15.75" customHeight="1" x14ac:dyDescent="0.2">
      <c r="A43" s="67"/>
      <c r="B43" s="34">
        <f>SUM(D42:Q42)/(+D41+F41+H41+J41+L41+N41+P41)</f>
        <v>-5.2099781897491821</v>
      </c>
      <c r="C43" s="64"/>
      <c r="D43" s="36"/>
      <c r="E43" s="37">
        <f>+E42/(+D41*-1)</f>
        <v>3.8386792452830187</v>
      </c>
      <c r="F43" s="36"/>
      <c r="G43" s="37">
        <f>+G42/(+F41*-1)</f>
        <v>5.34</v>
      </c>
      <c r="H43" s="36"/>
      <c r="I43" s="37">
        <f>+I42/(+H41*-1)</f>
        <v>6.15</v>
      </c>
      <c r="J43" s="36"/>
      <c r="K43" s="37">
        <f>+K42/(+J41*-1)</f>
        <v>5.378571428571429</v>
      </c>
      <c r="L43" s="36"/>
      <c r="M43" s="37">
        <f>+M42/(+L41*-1)</f>
        <v>8.3874999999999993</v>
      </c>
      <c r="N43" s="36"/>
      <c r="O43" s="37">
        <f>+O42/(+N41*-1)</f>
        <v>5.378571428571429</v>
      </c>
      <c r="P43" s="36"/>
      <c r="Q43" s="37">
        <f>+Q42/(+P41*-1)</f>
        <v>6.85</v>
      </c>
      <c r="R43" s="36"/>
      <c r="S43" s="37">
        <f>+S42/(+R41*-1)</f>
        <v>6.15</v>
      </c>
      <c r="T43" s="36"/>
      <c r="U43" s="37">
        <f>+U42/(+T41*-1)</f>
        <v>5.378571428571429</v>
      </c>
      <c r="V43" s="36"/>
      <c r="W43" s="37" t="e">
        <f>+W42/(+V41*-1)</f>
        <v>#DIV/0!</v>
      </c>
      <c r="X43" s="36"/>
      <c r="Y43" s="37">
        <f>+Y42/(+X41*-1)</f>
        <v>5.34</v>
      </c>
      <c r="Z43" s="36"/>
      <c r="AA43" s="37">
        <f>+AA42/(+Z41*-1)</f>
        <v>6.85</v>
      </c>
      <c r="AB43" s="1"/>
      <c r="AC43" s="1"/>
      <c r="AD43" s="1"/>
    </row>
    <row r="44" spans="1:33" ht="15.75" customHeight="1" x14ac:dyDescent="0.2">
      <c r="B44" s="6"/>
      <c r="C44" s="4">
        <f>SUM(C5:C41)</f>
        <v>-4344.825757575758</v>
      </c>
      <c r="E44" s="3"/>
      <c r="G44" s="3"/>
      <c r="I44" s="3"/>
      <c r="K44" s="3"/>
    </row>
    <row r="45" spans="1:33" ht="15.75" customHeight="1" x14ac:dyDescent="0.2">
      <c r="B45" s="6"/>
      <c r="E45" s="3"/>
      <c r="G45" s="3"/>
      <c r="I45" s="3"/>
      <c r="K45" s="3"/>
    </row>
    <row r="46" spans="1:33" ht="15.75" customHeight="1" x14ac:dyDescent="0.2">
      <c r="B46" s="6"/>
      <c r="E46" s="3"/>
      <c r="G46" s="3"/>
      <c r="I46" s="3"/>
      <c r="K46" s="3"/>
    </row>
    <row r="47" spans="1:33" ht="15.75" customHeight="1" x14ac:dyDescent="0.2">
      <c r="B47" s="6"/>
      <c r="E47" s="3"/>
      <c r="G47" s="3"/>
      <c r="I47" s="3"/>
      <c r="K47" s="3"/>
      <c r="AC47" s="4">
        <f>+AC5+AC9+AC13+AC18+AC22+AC26+AC31+AC35+AC40</f>
        <v>36849.527999999998</v>
      </c>
      <c r="AD47" s="4" t="s">
        <v>58</v>
      </c>
    </row>
    <row r="48" spans="1:33" ht="15.75" customHeight="1" x14ac:dyDescent="0.2">
      <c r="A48" s="45" t="s">
        <v>14</v>
      </c>
      <c r="B48" s="46">
        <v>0</v>
      </c>
      <c r="C48" s="46">
        <f t="shared" ref="C48:C49" si="9">(+E48+G48+I48+K48+M48+O48+Q48+S48+U48+W48+Y48+AA48)/12</f>
        <v>-6682.5143333333326</v>
      </c>
      <c r="D48" s="45">
        <v>0</v>
      </c>
      <c r="E48" s="47">
        <f t="shared" ref="E48:E49" si="10">+E6+E10+E14+E19+E23+E27+E32+E36+E41</f>
        <v>-9629.4719999999998</v>
      </c>
      <c r="F48" s="45">
        <v>0</v>
      </c>
      <c r="G48" s="47">
        <f t="shared" ref="G48:G49" si="11">+G6+G10+G14+G19+G23+G27+G32+G36+G41</f>
        <v>-5484.192</v>
      </c>
      <c r="H48" s="45">
        <v>0</v>
      </c>
      <c r="I48" s="47">
        <f>+I6+I10+I14+I19+I23+I27+I32+I36+I41</f>
        <v>-6468.424</v>
      </c>
      <c r="J48" s="45">
        <v>0</v>
      </c>
      <c r="K48" s="47">
        <f t="shared" ref="K48:K49" si="12">+K6+K10+K14+K19+K23+K27+K32+K36+K41</f>
        <v>-6318.1480000000001</v>
      </c>
      <c r="L48" s="45">
        <v>0</v>
      </c>
      <c r="M48" s="47">
        <f t="shared" ref="M48:M49" si="13">+M6+M10+M14+M19+M23+M27+M32+M36+M41</f>
        <v>-7250.6959999999999</v>
      </c>
      <c r="N48" s="45">
        <v>0</v>
      </c>
      <c r="O48" s="47">
        <f t="shared" ref="O48:O49" si="14">+O6+O10+O14+O19+O23+O27+O32+O36+O41</f>
        <v>-4127.848</v>
      </c>
      <c r="P48" s="45">
        <v>0</v>
      </c>
      <c r="Q48" s="47">
        <f t="shared" ref="Q48:Q49" si="15">+Q6+Q10+Q14+Q19+Q23+Q27+Q32+Q36+Q41</f>
        <v>-7780.4400000000005</v>
      </c>
      <c r="R48" s="45">
        <v>0</v>
      </c>
      <c r="S48" s="47">
        <f t="shared" ref="S48:S49" si="16">+S6+S10+S14+S19+S23+S27+S32+S36+S41</f>
        <v>-8651.3279999999995</v>
      </c>
      <c r="T48" s="45">
        <v>0</v>
      </c>
      <c r="U48" s="47">
        <f t="shared" ref="U48:U49" si="17">+U6+U10+U14+U19+U23+U27+U32+U36+U41</f>
        <v>-3054.48</v>
      </c>
      <c r="V48" s="45">
        <v>-4906.75</v>
      </c>
      <c r="W48" s="47">
        <f t="shared" ref="W48:W49" si="18">+W6+W10+W14+W19+W23+W27+W32+W36+W41</f>
        <v>-8724.4880000000012</v>
      </c>
      <c r="X48" s="45">
        <v>-4906.75</v>
      </c>
      <c r="Y48" s="47">
        <f t="shared" ref="Y48:Y49" si="19">+Y6+Y10+Y14+Y19+Y23+Y27+Y32+Y36+Y41</f>
        <v>-6820.8240000000005</v>
      </c>
      <c r="Z48" s="45">
        <v>-4906.75</v>
      </c>
      <c r="AA48" s="47">
        <f t="shared" ref="AA48:AA49" si="20">+AA6+AA10+AA14+AA19+AA23+AA27+AA32+AA36+AA41</f>
        <v>-5879.8319999999994</v>
      </c>
      <c r="AB48" s="1"/>
      <c r="AC48" s="1"/>
    </row>
    <row r="49" spans="1:29" ht="15.75" customHeight="1" x14ac:dyDescent="0.2">
      <c r="A49" s="48" t="s">
        <v>59</v>
      </c>
      <c r="B49" s="1"/>
      <c r="C49" s="1">
        <f t="shared" si="9"/>
        <v>12909.554166666667</v>
      </c>
      <c r="D49" s="48">
        <v>0</v>
      </c>
      <c r="E49" s="31">
        <f t="shared" si="10"/>
        <v>18744.36</v>
      </c>
      <c r="F49" s="48">
        <v>0</v>
      </c>
      <c r="G49" s="31">
        <f t="shared" si="11"/>
        <v>10496.6</v>
      </c>
      <c r="H49" s="48">
        <v>0</v>
      </c>
      <c r="I49" s="31">
        <v>9212.65</v>
      </c>
      <c r="J49" s="48">
        <v>0</v>
      </c>
      <c r="K49" s="31">
        <f t="shared" si="12"/>
        <v>13475.8</v>
      </c>
      <c r="L49" s="48">
        <v>0</v>
      </c>
      <c r="M49" s="31">
        <f t="shared" si="13"/>
        <v>16343.94</v>
      </c>
      <c r="N49" s="48">
        <v>0</v>
      </c>
      <c r="O49" s="31">
        <f t="shared" si="14"/>
        <v>7732.84</v>
      </c>
      <c r="P49" s="48">
        <v>0</v>
      </c>
      <c r="Q49" s="31">
        <f t="shared" si="15"/>
        <v>17431.93</v>
      </c>
      <c r="R49" s="48">
        <v>0</v>
      </c>
      <c r="S49" s="31">
        <f t="shared" si="16"/>
        <v>15377.039999999999</v>
      </c>
      <c r="T49" s="48">
        <v>0</v>
      </c>
      <c r="U49" s="31">
        <f t="shared" si="17"/>
        <v>5865.22</v>
      </c>
      <c r="V49" s="48">
        <v>0</v>
      </c>
      <c r="W49" s="31">
        <f t="shared" si="18"/>
        <v>17439.560000000001</v>
      </c>
      <c r="X49" s="48">
        <v>0</v>
      </c>
      <c r="Y49" s="31">
        <f t="shared" si="19"/>
        <v>13254.119999999999</v>
      </c>
      <c r="Z49" s="48">
        <v>0</v>
      </c>
      <c r="AA49" s="31">
        <f t="shared" si="20"/>
        <v>9540.59</v>
      </c>
      <c r="AB49" s="1"/>
      <c r="AC49" s="1"/>
    </row>
    <row r="50" spans="1:29" ht="15.75" customHeight="1" x14ac:dyDescent="0.2">
      <c r="A50" s="48" t="s">
        <v>59</v>
      </c>
      <c r="B50" s="1">
        <v>7178.81</v>
      </c>
      <c r="C50" s="1"/>
      <c r="D50" s="48">
        <v>15044.36</v>
      </c>
      <c r="E50" s="31">
        <f>+D50+E48</f>
        <v>5414.8880000000008</v>
      </c>
      <c r="F50" s="48">
        <v>10496.6</v>
      </c>
      <c r="G50" s="31">
        <f>+F50+G48</f>
        <v>5012.4080000000004</v>
      </c>
      <c r="H50" s="48">
        <v>9212.65</v>
      </c>
      <c r="I50" s="31">
        <f>+H50+I48</f>
        <v>2744.2259999999997</v>
      </c>
      <c r="J50" s="48">
        <v>13475.8</v>
      </c>
      <c r="K50" s="31">
        <f>+J50+K48</f>
        <v>7157.6519999999991</v>
      </c>
      <c r="L50" s="70">
        <v>16343.94</v>
      </c>
      <c r="M50" s="31">
        <f>+L50+M48</f>
        <v>9093.2440000000006</v>
      </c>
      <c r="N50" s="48">
        <v>7732.84</v>
      </c>
      <c r="O50" s="31">
        <f>+N50+O48</f>
        <v>3604.9920000000002</v>
      </c>
      <c r="P50" s="48">
        <v>17431.93</v>
      </c>
      <c r="Q50" s="31">
        <f>+P50+Q48</f>
        <v>9651.49</v>
      </c>
      <c r="R50" s="48">
        <v>15377.04</v>
      </c>
      <c r="S50" s="31">
        <f>+R50+S48</f>
        <v>6725.7120000000014</v>
      </c>
      <c r="T50" s="48">
        <v>5865.22</v>
      </c>
      <c r="U50" s="31">
        <f>+T50+U48</f>
        <v>2810.7400000000002</v>
      </c>
      <c r="V50" s="48">
        <v>17439.560000000001</v>
      </c>
      <c r="W50" s="31">
        <f>+V50+W48</f>
        <v>8715.0720000000001</v>
      </c>
      <c r="X50" s="48">
        <v>13254.12</v>
      </c>
      <c r="Y50" s="31">
        <f>+X50+Y48</f>
        <v>6433.2960000000003</v>
      </c>
      <c r="Z50" s="48">
        <v>9540.59</v>
      </c>
      <c r="AA50" s="31">
        <f>+Z50+AA48</f>
        <v>3660.7580000000007</v>
      </c>
      <c r="AB50" s="1"/>
      <c r="AC50" s="1">
        <f>SUM(D50:Z50)</f>
        <v>218578.37</v>
      </c>
    </row>
    <row r="51" spans="1:29" ht="15.75" customHeight="1" x14ac:dyDescent="0.2">
      <c r="A51" s="48" t="s">
        <v>60</v>
      </c>
      <c r="B51" s="1">
        <v>4000</v>
      </c>
      <c r="C51" s="1">
        <f>+E52+G52+I52+K52+M52+O52</f>
        <v>10227.410000000002</v>
      </c>
      <c r="D51" s="4">
        <v>-3800</v>
      </c>
      <c r="E51" s="31">
        <v>-3800</v>
      </c>
      <c r="F51" s="48">
        <v>-3800</v>
      </c>
      <c r="G51" s="31">
        <v>-3800</v>
      </c>
      <c r="H51" s="48">
        <v>-3800</v>
      </c>
      <c r="I51" s="31">
        <v>-3800</v>
      </c>
      <c r="J51" s="48">
        <f>-3800-2988</f>
        <v>-6788</v>
      </c>
      <c r="K51" s="31">
        <v>-3800</v>
      </c>
      <c r="L51" s="48">
        <v>-3800</v>
      </c>
      <c r="M51" s="31">
        <v>-3800</v>
      </c>
      <c r="N51" s="48">
        <f>-3800-2807-11000</f>
        <v>-17607</v>
      </c>
      <c r="O51" s="31">
        <v>-3800</v>
      </c>
      <c r="P51" s="48">
        <f>-3800-5742.16-5890.88</f>
        <v>-15433.04</v>
      </c>
      <c r="Q51" s="31">
        <v>-3800</v>
      </c>
      <c r="R51" s="48">
        <f>-3800</f>
        <v>-3800</v>
      </c>
      <c r="S51" s="31">
        <v>-3800</v>
      </c>
      <c r="T51" s="48">
        <f>-3800-2700</f>
        <v>-6500</v>
      </c>
      <c r="U51" s="31">
        <v>-3800</v>
      </c>
      <c r="V51" s="48">
        <f>-3800-25000</f>
        <v>-28800</v>
      </c>
      <c r="W51" s="31">
        <v>-3800</v>
      </c>
      <c r="X51" s="48">
        <f>-3800-12000</f>
        <v>-15800</v>
      </c>
      <c r="Y51" s="31">
        <v>-3800</v>
      </c>
      <c r="Z51" s="48">
        <v>0</v>
      </c>
      <c r="AA51" s="31">
        <v>-3800</v>
      </c>
      <c r="AB51" s="1"/>
      <c r="AC51" s="1"/>
    </row>
    <row r="52" spans="1:29" ht="15.75" customHeight="1" x14ac:dyDescent="0.2">
      <c r="A52" s="49" t="s">
        <v>61</v>
      </c>
      <c r="B52" s="50">
        <v>11995.72</v>
      </c>
      <c r="C52" s="50" t="s">
        <v>99</v>
      </c>
      <c r="D52" s="49">
        <f>+B50+B52+D50+D49+D51+D48</f>
        <v>30418.89</v>
      </c>
      <c r="E52" s="37">
        <f>+E50+E51+E53</f>
        <v>1614.8880000000008</v>
      </c>
      <c r="F52" s="49">
        <f>+D52+F50+F49+F51+F48</f>
        <v>37115.49</v>
      </c>
      <c r="G52" s="37">
        <f>+G50+G51</f>
        <v>1212.4080000000004</v>
      </c>
      <c r="H52" s="49">
        <f>+F52+H50+H49+H51+H48</f>
        <v>42528.14</v>
      </c>
      <c r="I52" s="83">
        <f>+I50+I51</f>
        <v>-1055.7740000000003</v>
      </c>
      <c r="J52" s="49">
        <f>+H52+J50+J49+J51+J48</f>
        <v>49215.94</v>
      </c>
      <c r="K52" s="37">
        <f>+K50+K51</f>
        <v>3357.6519999999991</v>
      </c>
      <c r="L52" s="49">
        <f>+J52+L50+L49+L51+L48</f>
        <v>61759.880000000005</v>
      </c>
      <c r="M52" s="37">
        <f>+M50+M51</f>
        <v>5293.2440000000006</v>
      </c>
      <c r="N52" s="49">
        <f>+L52+N50+N49+N51+N48</f>
        <v>51885.72</v>
      </c>
      <c r="O52" s="83">
        <f>+O50+O51</f>
        <v>-195.00799999999981</v>
      </c>
      <c r="P52" s="49">
        <f>+N52+P50+P49+P51+P48</f>
        <v>53884.609999999993</v>
      </c>
      <c r="Q52" s="37">
        <f>+Q50+Q51</f>
        <v>5851.49</v>
      </c>
      <c r="R52" s="49">
        <f>+P52+R50+R49+R51+R48</f>
        <v>65461.649999999994</v>
      </c>
      <c r="S52" s="37">
        <f>+S50+S51</f>
        <v>2925.7120000000014</v>
      </c>
      <c r="T52" s="49">
        <f>+R52+T50+T49+T51+T48</f>
        <v>64826.869999999995</v>
      </c>
      <c r="U52" s="37">
        <f>+U50+U51</f>
        <v>-989.25999999999976</v>
      </c>
      <c r="V52" s="49">
        <f>+T52+V50+V49+V51+V48</f>
        <v>48559.679999999993</v>
      </c>
      <c r="W52" s="37">
        <f>+W50+W51</f>
        <v>4915.0720000000001</v>
      </c>
      <c r="X52" s="49">
        <f>+V52+X50+X49+X51+X48</f>
        <v>41107.049999999996</v>
      </c>
      <c r="Y52" s="37">
        <f>+Y50+Y51</f>
        <v>2633.2960000000003</v>
      </c>
      <c r="Z52" s="49">
        <f>+X52+Z50+Z49+Z51+Z48</f>
        <v>45740.89</v>
      </c>
      <c r="AA52" s="98">
        <f>+AA50+AA51</f>
        <v>-139.24199999999928</v>
      </c>
      <c r="AB52" s="1"/>
      <c r="AC52" s="1">
        <f>+E52+G52+I52+K52+M52+O52+Q52+S52+U52+W52+Y52+AA52</f>
        <v>25424.478000000003</v>
      </c>
    </row>
    <row r="53" spans="1:29" ht="15.75" customHeight="1" x14ac:dyDescent="0.2">
      <c r="B53" s="6"/>
      <c r="D53" s="92" t="s">
        <v>169</v>
      </c>
      <c r="E53" s="93"/>
      <c r="F53" s="30"/>
      <c r="G53" s="32"/>
      <c r="H53" s="92" t="s">
        <v>230</v>
      </c>
      <c r="I53" s="93">
        <v>140</v>
      </c>
      <c r="J53" s="92" t="s">
        <v>166</v>
      </c>
      <c r="K53" s="93"/>
      <c r="L53" s="92" t="s">
        <v>167</v>
      </c>
      <c r="M53" s="99"/>
      <c r="N53" s="92" t="s">
        <v>231</v>
      </c>
      <c r="O53" s="99"/>
      <c r="P53" s="100"/>
      <c r="Q53" s="92"/>
      <c r="R53" s="92" t="s">
        <v>232</v>
      </c>
      <c r="S53" s="99">
        <v>806.15</v>
      </c>
      <c r="T53" s="92" t="s">
        <v>233</v>
      </c>
      <c r="U53" s="99"/>
      <c r="V53" s="92" t="s">
        <v>234</v>
      </c>
      <c r="W53" s="99"/>
      <c r="X53" s="92" t="s">
        <v>170</v>
      </c>
      <c r="Y53" s="104">
        <v>12213.98</v>
      </c>
      <c r="Z53" s="92" t="s">
        <v>231</v>
      </c>
      <c r="AA53" s="99"/>
    </row>
    <row r="54" spans="1:29" ht="15.75" customHeight="1" x14ac:dyDescent="0.2">
      <c r="A54" s="1">
        <f>+E52+G52+I52+K52+M52+O52+Q52+S52</f>
        <v>19004.612000000001</v>
      </c>
      <c r="B54" s="6"/>
      <c r="D54" s="30"/>
      <c r="E54" s="32"/>
      <c r="F54" s="30"/>
      <c r="G54" s="32"/>
      <c r="H54" s="101" t="s">
        <v>235</v>
      </c>
      <c r="I54" s="93">
        <v>223</v>
      </c>
      <c r="J54" s="92" t="s">
        <v>236</v>
      </c>
      <c r="K54" s="93"/>
      <c r="L54" s="92" t="s">
        <v>237</v>
      </c>
      <c r="M54" s="99"/>
      <c r="N54" s="92" t="s">
        <v>238</v>
      </c>
      <c r="O54" s="99"/>
      <c r="P54" s="92"/>
      <c r="Q54" s="99"/>
      <c r="R54" s="92" t="s">
        <v>239</v>
      </c>
      <c r="S54" s="99"/>
      <c r="T54" s="92" t="s">
        <v>176</v>
      </c>
      <c r="U54" s="99"/>
      <c r="V54" s="102" t="s">
        <v>240</v>
      </c>
      <c r="W54" s="103"/>
      <c r="X54" s="92" t="s">
        <v>177</v>
      </c>
      <c r="Y54" s="104">
        <v>4954.38</v>
      </c>
      <c r="Z54" s="92" t="s">
        <v>178</v>
      </c>
      <c r="AA54" s="99"/>
    </row>
    <row r="55" spans="1:29" ht="15.75" customHeight="1" x14ac:dyDescent="0.2">
      <c r="B55" s="6"/>
      <c r="D55" s="30"/>
      <c r="E55" s="32"/>
      <c r="F55" s="30"/>
      <c r="G55" s="32"/>
      <c r="H55" s="101" t="s">
        <v>241</v>
      </c>
      <c r="I55" s="93">
        <v>155</v>
      </c>
      <c r="J55" s="92" t="s">
        <v>242</v>
      </c>
      <c r="K55" s="93"/>
      <c r="L55" s="92" t="s">
        <v>243</v>
      </c>
      <c r="M55" s="99"/>
      <c r="N55" s="92" t="s">
        <v>244</v>
      </c>
      <c r="O55" s="99"/>
      <c r="P55" s="92"/>
      <c r="Q55" s="99"/>
      <c r="R55" s="92" t="s">
        <v>245</v>
      </c>
      <c r="S55" s="99"/>
      <c r="T55" s="92" t="s">
        <v>246</v>
      </c>
      <c r="U55" s="99"/>
      <c r="V55" s="102"/>
      <c r="W55" s="99"/>
      <c r="X55" s="92" t="s">
        <v>186</v>
      </c>
      <c r="Y55" s="99">
        <v>5234.04</v>
      </c>
      <c r="Z55" s="92"/>
      <c r="AA55" s="99"/>
    </row>
    <row r="56" spans="1:29" ht="15.75" customHeight="1" x14ac:dyDescent="0.2">
      <c r="B56" s="6"/>
      <c r="D56" s="30"/>
      <c r="E56" s="32"/>
      <c r="F56" s="30"/>
      <c r="G56" s="32"/>
      <c r="H56" s="101" t="s">
        <v>247</v>
      </c>
      <c r="I56" s="93">
        <v>1400.65</v>
      </c>
      <c r="J56" s="92" t="s">
        <v>231</v>
      </c>
      <c r="K56" s="93"/>
      <c r="L56" s="92" t="s">
        <v>248</v>
      </c>
      <c r="M56" s="99"/>
      <c r="N56" s="92"/>
      <c r="O56" s="99"/>
      <c r="P56" s="92"/>
      <c r="Q56" s="99"/>
      <c r="R56" s="92"/>
      <c r="S56" s="99"/>
      <c r="T56" s="100" t="s">
        <v>249</v>
      </c>
      <c r="U56" s="99"/>
      <c r="V56" s="102"/>
      <c r="W56" s="99"/>
      <c r="X56" s="92" t="s">
        <v>189</v>
      </c>
      <c r="Y56" s="99">
        <v>2025.56</v>
      </c>
      <c r="Z56" s="92"/>
      <c r="AA56" s="99"/>
    </row>
    <row r="57" spans="1:29" ht="15.75" customHeight="1" x14ac:dyDescent="0.2">
      <c r="B57" s="6"/>
      <c r="D57" s="30"/>
      <c r="E57" s="32"/>
      <c r="F57" s="30"/>
      <c r="G57" s="32"/>
      <c r="H57" s="101"/>
      <c r="I57" s="93"/>
      <c r="J57" s="92" t="s">
        <v>250</v>
      </c>
      <c r="K57" s="93"/>
      <c r="L57" s="92"/>
      <c r="M57" s="99"/>
      <c r="N57" s="101"/>
      <c r="O57" s="99"/>
      <c r="P57" s="92"/>
      <c r="Q57" s="99"/>
      <c r="R57" s="92"/>
      <c r="S57" s="99"/>
      <c r="T57" s="92"/>
      <c r="U57" s="92"/>
      <c r="V57" s="102"/>
      <c r="W57" s="104"/>
      <c r="X57" s="92"/>
      <c r="Y57" s="99"/>
      <c r="Z57" s="92"/>
      <c r="AA57" s="103"/>
    </row>
    <row r="58" spans="1:29" ht="15.75" customHeight="1" x14ac:dyDescent="0.2">
      <c r="A58" s="1"/>
      <c r="B58" s="6"/>
      <c r="D58" s="49">
        <v>0</v>
      </c>
      <c r="E58" s="37"/>
      <c r="F58" s="49">
        <v>0</v>
      </c>
      <c r="G58" s="37"/>
      <c r="H58" s="105">
        <v>0</v>
      </c>
      <c r="I58" s="106"/>
      <c r="J58" s="105">
        <v>0</v>
      </c>
      <c r="K58" s="106"/>
      <c r="L58" s="105">
        <v>0</v>
      </c>
      <c r="M58" s="106"/>
      <c r="N58" s="105">
        <v>0</v>
      </c>
      <c r="O58" s="106"/>
      <c r="P58" s="105">
        <v>0</v>
      </c>
      <c r="Q58" s="106"/>
      <c r="R58" s="105">
        <v>0</v>
      </c>
      <c r="S58" s="106"/>
      <c r="T58" s="105">
        <v>0</v>
      </c>
      <c r="U58" s="106"/>
      <c r="V58" s="105">
        <v>0</v>
      </c>
      <c r="W58" s="106"/>
      <c r="X58" s="105"/>
      <c r="Y58" s="106"/>
      <c r="Z58" s="105"/>
      <c r="AA58" s="106"/>
      <c r="AB58" s="1"/>
    </row>
    <row r="59" spans="1:29" ht="15.75" customHeight="1" x14ac:dyDescent="0.2">
      <c r="H59" s="101" t="s">
        <v>251</v>
      </c>
      <c r="I59" s="100"/>
      <c r="J59" s="92" t="s">
        <v>252</v>
      </c>
      <c r="K59" s="100"/>
    </row>
    <row r="60" spans="1:29" ht="15.75" customHeight="1" x14ac:dyDescent="0.2">
      <c r="H60" s="101" t="s">
        <v>253</v>
      </c>
      <c r="I60" s="100"/>
      <c r="J60" s="100" t="s">
        <v>254</v>
      </c>
      <c r="K60" s="100"/>
    </row>
    <row r="61" spans="1:29" ht="15.75" customHeight="1" x14ac:dyDescent="0.2">
      <c r="W61" s="4" t="s">
        <v>194</v>
      </c>
    </row>
    <row r="62" spans="1:29" ht="15.75" customHeight="1" x14ac:dyDescent="0.2">
      <c r="R62" s="4" t="s">
        <v>195</v>
      </c>
    </row>
    <row r="63" spans="1:29" ht="15.75" customHeight="1" x14ac:dyDescent="0.2">
      <c r="R63" s="4" t="s">
        <v>116</v>
      </c>
      <c r="W63" s="3"/>
    </row>
    <row r="64" spans="1:29" ht="15.75" customHeight="1" x14ac:dyDescent="0.2">
      <c r="M64" s="2"/>
      <c r="N64" s="6"/>
      <c r="O64" s="6"/>
      <c r="R64" s="4" t="s">
        <v>122</v>
      </c>
      <c r="W64" s="3"/>
    </row>
    <row r="65" spans="12:29" ht="15.75" customHeight="1" x14ac:dyDescent="0.2">
      <c r="M65" s="2"/>
      <c r="N65" s="6"/>
      <c r="O65" s="6"/>
      <c r="R65" s="1">
        <v>1089.8800000000001</v>
      </c>
      <c r="V65" s="1"/>
      <c r="W65" s="3"/>
    </row>
    <row r="66" spans="12:29" ht="15.75" customHeight="1" x14ac:dyDescent="0.2">
      <c r="M66" s="2"/>
      <c r="N66" s="6"/>
      <c r="O66" s="6"/>
      <c r="R66" s="1"/>
      <c r="V66" s="1"/>
      <c r="W66" s="3"/>
    </row>
    <row r="67" spans="12:29" ht="15.75" customHeight="1" x14ac:dyDescent="0.2">
      <c r="M67" s="2"/>
      <c r="N67" s="6"/>
      <c r="P67" s="6"/>
      <c r="R67" s="4" t="s">
        <v>126</v>
      </c>
      <c r="W67" s="3"/>
    </row>
    <row r="68" spans="12:29" ht="15.75" customHeight="1" x14ac:dyDescent="0.2">
      <c r="M68" s="2"/>
      <c r="N68" s="6"/>
      <c r="O68" s="6"/>
      <c r="R68" s="1">
        <v>5890.88</v>
      </c>
      <c r="V68" s="1"/>
      <c r="W68" s="3"/>
    </row>
    <row r="69" spans="12:29" ht="15.75" customHeight="1" x14ac:dyDescent="0.2">
      <c r="M69" s="2"/>
      <c r="N69" s="6"/>
      <c r="O69" s="6"/>
    </row>
    <row r="70" spans="12:29" ht="15.75" customHeight="1" x14ac:dyDescent="0.2">
      <c r="L70" s="1"/>
      <c r="M70" s="2"/>
      <c r="N70" s="6"/>
      <c r="O70" s="6"/>
    </row>
    <row r="71" spans="12:29" ht="15.75" customHeight="1" x14ac:dyDescent="0.2">
      <c r="L71" s="1"/>
      <c r="M71" s="2"/>
      <c r="N71" s="6"/>
      <c r="O71" s="6"/>
    </row>
    <row r="72" spans="12:29" ht="15.75" customHeight="1" x14ac:dyDescent="0.2">
      <c r="L72" s="1"/>
      <c r="M72" s="88"/>
      <c r="O72" s="6"/>
    </row>
    <row r="73" spans="12:29" ht="15.75" customHeight="1" x14ac:dyDescent="0.2">
      <c r="L73" s="1"/>
      <c r="M73" s="1"/>
      <c r="O73" s="6"/>
    </row>
    <row r="74" spans="12:29" ht="15.75" customHeight="1" x14ac:dyDescent="0.2">
      <c r="L74" s="1" t="s">
        <v>196</v>
      </c>
      <c r="M74" s="1"/>
      <c r="O74" s="6"/>
      <c r="T74" s="4" t="s">
        <v>197</v>
      </c>
    </row>
    <row r="75" spans="12:29" ht="15.75" customHeight="1" x14ac:dyDescent="0.2">
      <c r="L75" s="4" t="s">
        <v>199</v>
      </c>
      <c r="T75" s="4" t="s">
        <v>200</v>
      </c>
    </row>
    <row r="76" spans="12:29" ht="15.75" customHeight="1" x14ac:dyDescent="0.2">
      <c r="L76" s="4" t="s">
        <v>202</v>
      </c>
      <c r="P76" s="4" t="s">
        <v>121</v>
      </c>
      <c r="T76" s="4" t="s">
        <v>203</v>
      </c>
      <c r="X76" s="4" t="s">
        <v>121</v>
      </c>
    </row>
    <row r="77" spans="12:29" ht="15.75" customHeight="1" x14ac:dyDescent="0.2">
      <c r="L77" s="4">
        <v>12</v>
      </c>
      <c r="M77" s="2">
        <f>5520</f>
        <v>5520</v>
      </c>
      <c r="N77" s="6">
        <v>0.90300000000000002</v>
      </c>
      <c r="O77" s="6">
        <f t="shared" ref="O77:O84" si="21">+M77*N77</f>
        <v>4984.5600000000004</v>
      </c>
      <c r="P77" s="4">
        <f>+M77/240</f>
        <v>23</v>
      </c>
      <c r="T77" s="4">
        <v>12</v>
      </c>
      <c r="U77" s="2">
        <v>8400</v>
      </c>
      <c r="V77" s="6">
        <v>0.90300000000000002</v>
      </c>
      <c r="W77" s="6">
        <f t="shared" ref="W77:W84" si="22">+U77*V77</f>
        <v>7585.2</v>
      </c>
      <c r="X77" s="4">
        <f>+U77/240</f>
        <v>35</v>
      </c>
      <c r="AA77" s="2"/>
      <c r="AB77" s="6"/>
      <c r="AC77" s="6"/>
    </row>
    <row r="78" spans="12:29" ht="15.75" customHeight="1" x14ac:dyDescent="0.2">
      <c r="L78" s="4">
        <v>8</v>
      </c>
      <c r="M78" s="2">
        <f>5040</f>
        <v>5040</v>
      </c>
      <c r="N78" s="6">
        <v>0.65500000000000003</v>
      </c>
      <c r="O78" s="6">
        <f t="shared" si="21"/>
        <v>3301.2000000000003</v>
      </c>
      <c r="P78" s="4">
        <f>+M78/360</f>
        <v>14</v>
      </c>
      <c r="T78" s="4">
        <v>8</v>
      </c>
      <c r="U78" s="2">
        <v>1440</v>
      </c>
      <c r="V78" s="6">
        <v>0.65500000000000003</v>
      </c>
      <c r="W78" s="6">
        <f t="shared" si="22"/>
        <v>943.2</v>
      </c>
      <c r="X78" s="4">
        <f>+U78/360</f>
        <v>4</v>
      </c>
      <c r="AA78" s="2"/>
      <c r="AB78" s="6"/>
      <c r="AC78" s="6"/>
    </row>
    <row r="79" spans="12:29" ht="15.75" customHeight="1" x14ac:dyDescent="0.2">
      <c r="L79" s="4">
        <v>6</v>
      </c>
      <c r="M79" s="2">
        <v>720</v>
      </c>
      <c r="N79" s="6">
        <v>0.52800000000000002</v>
      </c>
      <c r="O79" s="6">
        <f t="shared" si="21"/>
        <v>380.16</v>
      </c>
      <c r="P79" s="4">
        <f t="shared" ref="P79:P80" si="23">+M79/240</f>
        <v>3</v>
      </c>
      <c r="T79" s="4">
        <v>6</v>
      </c>
      <c r="U79" s="2">
        <v>720</v>
      </c>
      <c r="V79" s="6">
        <v>0.52800000000000002</v>
      </c>
      <c r="W79" s="6">
        <f t="shared" si="22"/>
        <v>380.16</v>
      </c>
      <c r="X79" s="4">
        <f t="shared" ref="X79:X80" si="24">+U79/240</f>
        <v>3</v>
      </c>
      <c r="AA79" s="2"/>
      <c r="AB79" s="6"/>
      <c r="AC79" s="6"/>
    </row>
    <row r="80" spans="12:29" ht="15.75" customHeight="1" x14ac:dyDescent="0.2">
      <c r="L80" s="4" t="s">
        <v>128</v>
      </c>
      <c r="M80" s="2">
        <v>2160</v>
      </c>
      <c r="N80" s="6">
        <v>0.81</v>
      </c>
      <c r="O80" s="6">
        <f t="shared" si="21"/>
        <v>1749.6000000000001</v>
      </c>
      <c r="P80" s="4">
        <f t="shared" si="23"/>
        <v>9</v>
      </c>
      <c r="T80" s="4" t="s">
        <v>128</v>
      </c>
      <c r="U80" s="2">
        <v>1440</v>
      </c>
      <c r="V80" s="6">
        <v>0.81</v>
      </c>
      <c r="W80" s="6">
        <f t="shared" si="22"/>
        <v>1166.4000000000001</v>
      </c>
      <c r="X80" s="4">
        <f t="shared" si="24"/>
        <v>6</v>
      </c>
      <c r="AA80" s="2"/>
      <c r="AB80" s="6"/>
      <c r="AC80" s="6"/>
    </row>
    <row r="81" spans="12:31" ht="15.75" customHeight="1" x14ac:dyDescent="0.2">
      <c r="L81" s="4" t="s">
        <v>130</v>
      </c>
      <c r="M81" s="2">
        <v>1080</v>
      </c>
      <c r="N81" s="6">
        <v>0.55500000000000005</v>
      </c>
      <c r="O81" s="6">
        <f t="shared" si="21"/>
        <v>599.40000000000009</v>
      </c>
      <c r="P81" s="4">
        <f t="shared" ref="P81:P82" si="25">+M81/360</f>
        <v>3</v>
      </c>
      <c r="T81" s="4" t="s">
        <v>130</v>
      </c>
      <c r="U81" s="2">
        <v>720</v>
      </c>
      <c r="V81" s="6">
        <v>0.55500000000000005</v>
      </c>
      <c r="W81" s="6">
        <f t="shared" si="22"/>
        <v>399.6</v>
      </c>
      <c r="X81" s="4">
        <f t="shared" ref="X81:X82" si="26">+U81/360</f>
        <v>2</v>
      </c>
      <c r="AA81" s="2"/>
      <c r="AB81" s="6"/>
      <c r="AC81" s="6"/>
    </row>
    <row r="82" spans="12:31" ht="15.75" customHeight="1" x14ac:dyDescent="0.2">
      <c r="L82" s="4" t="s">
        <v>132</v>
      </c>
      <c r="M82" s="2">
        <v>0</v>
      </c>
      <c r="N82" s="6">
        <v>0</v>
      </c>
      <c r="O82" s="6">
        <f t="shared" si="21"/>
        <v>0</v>
      </c>
      <c r="P82" s="4">
        <f t="shared" si="25"/>
        <v>0</v>
      </c>
      <c r="T82" s="4" t="s">
        <v>132</v>
      </c>
      <c r="U82" s="2">
        <v>0</v>
      </c>
      <c r="V82" s="6">
        <v>0</v>
      </c>
      <c r="W82" s="6">
        <f t="shared" si="22"/>
        <v>0</v>
      </c>
      <c r="X82" s="4">
        <f t="shared" si="26"/>
        <v>0</v>
      </c>
      <c r="AA82" s="2"/>
      <c r="AB82" s="6"/>
      <c r="AC82" s="6"/>
    </row>
    <row r="83" spans="12:31" ht="15.75" customHeight="1" x14ac:dyDescent="0.2">
      <c r="L83" s="1" t="s">
        <v>134</v>
      </c>
      <c r="M83" s="2">
        <v>1920</v>
      </c>
      <c r="N83" s="6">
        <v>0.85199999999999998</v>
      </c>
      <c r="O83" s="6">
        <f t="shared" si="21"/>
        <v>1635.84</v>
      </c>
      <c r="P83" s="4">
        <f>+M83/240</f>
        <v>8</v>
      </c>
      <c r="T83" s="1" t="s">
        <v>134</v>
      </c>
      <c r="U83" s="2">
        <v>2160</v>
      </c>
      <c r="V83" s="6">
        <v>0.85199999999999998</v>
      </c>
      <c r="W83" s="6">
        <f t="shared" si="22"/>
        <v>1840.32</v>
      </c>
      <c r="X83" s="4">
        <f>+U83/240</f>
        <v>9</v>
      </c>
      <c r="Z83" s="1"/>
      <c r="AA83" s="2"/>
      <c r="AB83" s="6"/>
      <c r="AC83" s="6"/>
    </row>
    <row r="84" spans="12:31" ht="15.75" customHeight="1" x14ac:dyDescent="0.2">
      <c r="L84" s="1" t="s">
        <v>11</v>
      </c>
      <c r="M84" s="2">
        <v>1080</v>
      </c>
      <c r="N84" s="6">
        <v>1.1180000000000001</v>
      </c>
      <c r="O84" s="6">
        <f t="shared" si="21"/>
        <v>1207.44</v>
      </c>
      <c r="P84" s="4">
        <f>+M84/120</f>
        <v>9</v>
      </c>
      <c r="T84" s="1" t="s">
        <v>11</v>
      </c>
      <c r="U84" s="2">
        <v>3960</v>
      </c>
      <c r="V84" s="6">
        <v>1.1180000000000001</v>
      </c>
      <c r="W84" s="6">
        <f t="shared" si="22"/>
        <v>4427.2800000000007</v>
      </c>
      <c r="X84" s="4">
        <f>+U84/120</f>
        <v>33</v>
      </c>
      <c r="Z84" s="1"/>
      <c r="AA84" s="2"/>
      <c r="AB84" s="6"/>
      <c r="AC84" s="6"/>
    </row>
    <row r="85" spans="12:31" ht="15.75" customHeight="1" x14ac:dyDescent="0.2">
      <c r="L85" s="1"/>
      <c r="M85" s="88">
        <f>SUM(M77:M84)</f>
        <v>17520</v>
      </c>
      <c r="O85" s="6">
        <f t="shared" ref="O85:P85" si="27">SUM(O77:O84)</f>
        <v>13858.2</v>
      </c>
      <c r="P85" s="4">
        <f t="shared" si="27"/>
        <v>69</v>
      </c>
      <c r="T85" s="1"/>
      <c r="U85" s="88">
        <f>SUM(U77:U84)</f>
        <v>18840</v>
      </c>
      <c r="W85" s="6">
        <f t="shared" ref="W85:X85" si="28">SUM(W77:W84)</f>
        <v>16742.16</v>
      </c>
      <c r="X85" s="4">
        <f t="shared" si="28"/>
        <v>92</v>
      </c>
      <c r="Z85" s="1"/>
      <c r="AA85" s="88"/>
      <c r="AC85" s="6"/>
    </row>
    <row r="86" spans="12:31" ht="15.75" customHeight="1" x14ac:dyDescent="0.2">
      <c r="L86" s="1"/>
      <c r="M86" s="1"/>
      <c r="N86" s="4" t="s">
        <v>137</v>
      </c>
      <c r="O86" s="6">
        <v>4185.05</v>
      </c>
      <c r="T86" s="1"/>
      <c r="U86" s="1"/>
      <c r="V86" s="4" t="s">
        <v>137</v>
      </c>
      <c r="W86" s="6">
        <f>+W85*0.3</f>
        <v>5022.6480000000001</v>
      </c>
      <c r="Z86" s="1"/>
      <c r="AA86" s="1"/>
      <c r="AC86" s="107"/>
      <c r="AE86" s="108"/>
    </row>
    <row r="87" spans="12:31" ht="15.75" customHeight="1" x14ac:dyDescent="0.2">
      <c r="L87" s="1"/>
      <c r="M87" s="1"/>
      <c r="N87" s="4" t="s">
        <v>139</v>
      </c>
      <c r="O87" s="6">
        <f>+O85-O86</f>
        <v>9673.1500000000015</v>
      </c>
      <c r="T87" s="1"/>
      <c r="U87" s="1"/>
      <c r="V87" s="4" t="s">
        <v>139</v>
      </c>
      <c r="W87" s="6">
        <f>+W85-W86</f>
        <v>11719.511999999999</v>
      </c>
      <c r="Z87" s="1"/>
      <c r="AA87" s="1"/>
      <c r="AC87" s="6"/>
      <c r="AE87" s="108"/>
    </row>
    <row r="88" spans="12:31" ht="15.75" customHeight="1" x14ac:dyDescent="0.2"/>
    <row r="89" spans="12:31" ht="15.75" customHeight="1" x14ac:dyDescent="0.2">
      <c r="L89" s="4" t="s">
        <v>207</v>
      </c>
    </row>
    <row r="90" spans="12:31" ht="15.75" customHeight="1" x14ac:dyDescent="0.2">
      <c r="L90" s="4" t="s">
        <v>208</v>
      </c>
      <c r="N90" s="1">
        <v>85</v>
      </c>
    </row>
    <row r="91" spans="12:31" ht="15.75" customHeight="1" x14ac:dyDescent="0.2">
      <c r="L91" s="4" t="s">
        <v>209</v>
      </c>
      <c r="N91" s="1">
        <v>4314.72</v>
      </c>
      <c r="T91" s="4" t="s">
        <v>255</v>
      </c>
      <c r="Z91" s="4" t="s">
        <v>256</v>
      </c>
    </row>
    <row r="92" spans="12:31" ht="15.75" customHeight="1" x14ac:dyDescent="0.2">
      <c r="N92" s="1">
        <f>SUM(N90:N91)</f>
        <v>4399.72</v>
      </c>
      <c r="T92" s="4" t="s">
        <v>201</v>
      </c>
    </row>
    <row r="93" spans="12:31" ht="15.75" customHeight="1" x14ac:dyDescent="0.2">
      <c r="L93" s="4" t="s">
        <v>210</v>
      </c>
      <c r="N93" s="109">
        <f>+N92/N106</f>
        <v>2.4248897707231043E-2</v>
      </c>
      <c r="T93" s="4" t="s">
        <v>204</v>
      </c>
      <c r="X93" s="4" t="s">
        <v>121</v>
      </c>
      <c r="Z93" s="4" t="s">
        <v>204</v>
      </c>
      <c r="AD93" s="4" t="s">
        <v>121</v>
      </c>
    </row>
    <row r="94" spans="12:31" ht="15.75" customHeight="1" x14ac:dyDescent="0.2">
      <c r="N94" s="1"/>
      <c r="T94" s="4">
        <v>12</v>
      </c>
      <c r="U94" s="2">
        <v>4560</v>
      </c>
      <c r="V94" s="6">
        <v>0.90300000000000002</v>
      </c>
      <c r="W94" s="6">
        <f t="shared" ref="W94:W101" si="29">+U94*V94</f>
        <v>4117.68</v>
      </c>
      <c r="X94" s="4">
        <f>+U94/240</f>
        <v>19</v>
      </c>
      <c r="Z94" s="4">
        <v>12</v>
      </c>
      <c r="AA94" s="2">
        <v>12000</v>
      </c>
      <c r="AB94" s="6">
        <v>0.90300000000000002</v>
      </c>
      <c r="AC94" s="6">
        <f t="shared" ref="AC94:AC101" si="30">+AA94*AB94</f>
        <v>10836</v>
      </c>
      <c r="AD94" s="4">
        <f>+AA94/240</f>
        <v>50</v>
      </c>
    </row>
    <row r="95" spans="12:31" ht="15.75" customHeight="1" x14ac:dyDescent="0.2">
      <c r="N95" s="1"/>
      <c r="T95" s="4">
        <v>8</v>
      </c>
      <c r="U95" s="2">
        <v>3600</v>
      </c>
      <c r="V95" s="6">
        <v>0.65500000000000003</v>
      </c>
      <c r="W95" s="6">
        <f t="shared" si="29"/>
        <v>2358</v>
      </c>
      <c r="X95" s="4">
        <f>+U95/360</f>
        <v>10</v>
      </c>
      <c r="Z95" s="4">
        <v>8</v>
      </c>
      <c r="AA95" s="2">
        <v>1800</v>
      </c>
      <c r="AB95" s="6">
        <v>0.65500000000000003</v>
      </c>
      <c r="AC95" s="6">
        <f t="shared" si="30"/>
        <v>1179</v>
      </c>
      <c r="AD95" s="4">
        <f>+AA95/360</f>
        <v>5</v>
      </c>
    </row>
    <row r="96" spans="12:31" ht="15.75" customHeight="1" x14ac:dyDescent="0.2">
      <c r="O96" s="4" t="s">
        <v>211</v>
      </c>
      <c r="P96" s="4" t="s">
        <v>212</v>
      </c>
      <c r="Q96" s="4" t="s">
        <v>213</v>
      </c>
      <c r="T96" s="4">
        <v>6</v>
      </c>
      <c r="U96" s="2">
        <v>0</v>
      </c>
      <c r="V96" s="6">
        <v>0.52800000000000002</v>
      </c>
      <c r="W96" s="6">
        <f t="shared" si="29"/>
        <v>0</v>
      </c>
      <c r="X96" s="4">
        <f t="shared" ref="X96:X97" si="31">+U96/240</f>
        <v>0</v>
      </c>
      <c r="Z96" s="4">
        <v>6</v>
      </c>
      <c r="AA96" s="2">
        <v>960</v>
      </c>
      <c r="AB96" s="6">
        <v>0.52800000000000002</v>
      </c>
      <c r="AC96" s="6">
        <f t="shared" si="30"/>
        <v>506.88</v>
      </c>
      <c r="AD96" s="4">
        <f t="shared" ref="AD96:AD97" si="32">+AA96/240</f>
        <v>4</v>
      </c>
    </row>
    <row r="97" spans="12:31" ht="15.75" customHeight="1" x14ac:dyDescent="0.2">
      <c r="L97" s="4" t="s">
        <v>214</v>
      </c>
      <c r="O97" s="4" t="s">
        <v>215</v>
      </c>
      <c r="Q97" s="4" t="s">
        <v>1</v>
      </c>
      <c r="T97" s="4" t="s">
        <v>128</v>
      </c>
      <c r="U97" s="2">
        <v>1680</v>
      </c>
      <c r="V97" s="6">
        <v>0.81</v>
      </c>
      <c r="W97" s="6">
        <f t="shared" si="29"/>
        <v>1360.8000000000002</v>
      </c>
      <c r="X97" s="4">
        <f t="shared" si="31"/>
        <v>7</v>
      </c>
      <c r="Z97" s="4" t="s">
        <v>128</v>
      </c>
      <c r="AA97" s="2">
        <v>1920</v>
      </c>
      <c r="AB97" s="6">
        <v>0.81</v>
      </c>
      <c r="AC97" s="6">
        <f t="shared" si="30"/>
        <v>1555.2</v>
      </c>
      <c r="AD97" s="4">
        <f t="shared" si="32"/>
        <v>8</v>
      </c>
    </row>
    <row r="98" spans="12:31" ht="15.75" customHeight="1" x14ac:dyDescent="0.2">
      <c r="L98" s="4">
        <v>12</v>
      </c>
      <c r="M98" s="4">
        <v>5520</v>
      </c>
      <c r="N98" s="4">
        <f t="shared" ref="N98:N105" si="33">+L98*M98</f>
        <v>66240</v>
      </c>
      <c r="O98" s="6">
        <f>(+N93*N98)/M98</f>
        <v>0.29098677248677252</v>
      </c>
      <c r="P98" s="4">
        <v>0.90300000000000002</v>
      </c>
      <c r="Q98" s="110">
        <f t="shared" ref="Q98:Q105" si="34">+O98+P98</f>
        <v>1.1939867724867725</v>
      </c>
      <c r="T98" s="4" t="s">
        <v>130</v>
      </c>
      <c r="U98" s="2">
        <v>360</v>
      </c>
      <c r="V98" s="6">
        <v>0.55500000000000005</v>
      </c>
      <c r="W98" s="6">
        <f t="shared" si="29"/>
        <v>199.8</v>
      </c>
      <c r="X98" s="4">
        <f t="shared" ref="X98:X99" si="35">+U98/360</f>
        <v>1</v>
      </c>
      <c r="Z98" s="4" t="s">
        <v>130</v>
      </c>
      <c r="AA98" s="2">
        <v>1080</v>
      </c>
      <c r="AB98" s="6">
        <v>0.55500000000000005</v>
      </c>
      <c r="AC98" s="6">
        <f t="shared" si="30"/>
        <v>599.40000000000009</v>
      </c>
      <c r="AD98" s="4">
        <f t="shared" ref="AD98:AD99" si="36">+AA98/360</f>
        <v>3</v>
      </c>
    </row>
    <row r="99" spans="12:31" ht="15.75" customHeight="1" x14ac:dyDescent="0.2">
      <c r="L99" s="4">
        <v>8</v>
      </c>
      <c r="M99" s="4">
        <v>5040</v>
      </c>
      <c r="N99" s="4">
        <f t="shared" si="33"/>
        <v>40320</v>
      </c>
      <c r="O99" s="6">
        <f>(+N93*N99)/M99</f>
        <v>0.19399118165784834</v>
      </c>
      <c r="P99" s="4">
        <v>0.65500000000000003</v>
      </c>
      <c r="Q99" s="110">
        <f t="shared" si="34"/>
        <v>0.84899118165784837</v>
      </c>
      <c r="T99" s="4" t="s">
        <v>132</v>
      </c>
      <c r="U99" s="2">
        <v>360</v>
      </c>
      <c r="V99" s="6">
        <v>0.377</v>
      </c>
      <c r="W99" s="6">
        <f t="shared" si="29"/>
        <v>135.72</v>
      </c>
      <c r="X99" s="4">
        <f t="shared" si="35"/>
        <v>1</v>
      </c>
      <c r="Z99" s="4" t="s">
        <v>132</v>
      </c>
      <c r="AA99" s="2">
        <v>360</v>
      </c>
      <c r="AB99" s="6">
        <v>0.377</v>
      </c>
      <c r="AC99" s="6">
        <f t="shared" si="30"/>
        <v>135.72</v>
      </c>
      <c r="AD99" s="4">
        <f t="shared" si="36"/>
        <v>1</v>
      </c>
    </row>
    <row r="100" spans="12:31" ht="15.75" customHeight="1" x14ac:dyDescent="0.2">
      <c r="L100" s="4">
        <v>6</v>
      </c>
      <c r="M100" s="4">
        <v>720</v>
      </c>
      <c r="N100" s="4">
        <f t="shared" si="33"/>
        <v>4320</v>
      </c>
      <c r="O100" s="6">
        <f>(+N93*N100)/M100</f>
        <v>0.14549338624338626</v>
      </c>
      <c r="P100" s="4">
        <v>0.52800000000000002</v>
      </c>
      <c r="Q100" s="110">
        <f t="shared" si="34"/>
        <v>0.67349338624338628</v>
      </c>
      <c r="T100" s="1" t="s">
        <v>134</v>
      </c>
      <c r="U100" s="2">
        <v>1200</v>
      </c>
      <c r="V100" s="6">
        <v>0.85199999999999998</v>
      </c>
      <c r="W100" s="6">
        <f t="shared" si="29"/>
        <v>1022.4</v>
      </c>
      <c r="X100" s="4">
        <f>+U100/240</f>
        <v>5</v>
      </c>
      <c r="Z100" s="1" t="s">
        <v>134</v>
      </c>
      <c r="AA100" s="2">
        <v>1920</v>
      </c>
      <c r="AB100" s="6">
        <v>0.85199999999999998</v>
      </c>
      <c r="AC100" s="6">
        <f t="shared" si="30"/>
        <v>1635.84</v>
      </c>
      <c r="AD100" s="4">
        <f>+AA100/240</f>
        <v>8</v>
      </c>
    </row>
    <row r="101" spans="12:31" ht="15.75" customHeight="1" x14ac:dyDescent="0.2">
      <c r="L101" s="4">
        <v>12</v>
      </c>
      <c r="M101" s="4">
        <v>2160</v>
      </c>
      <c r="N101" s="4">
        <f t="shared" si="33"/>
        <v>25920</v>
      </c>
      <c r="O101" s="6">
        <f>(+N93*N101)/M101</f>
        <v>0.29098677248677252</v>
      </c>
      <c r="P101" s="4">
        <v>0.81</v>
      </c>
      <c r="Q101" s="110">
        <f t="shared" si="34"/>
        <v>1.1009867724867726</v>
      </c>
      <c r="T101" s="1" t="s">
        <v>11</v>
      </c>
      <c r="U101" s="2">
        <v>3480</v>
      </c>
      <c r="V101" s="6">
        <v>1.1180000000000001</v>
      </c>
      <c r="W101" s="6">
        <f t="shared" si="29"/>
        <v>3890.6400000000003</v>
      </c>
      <c r="X101" s="4">
        <f>+U101/120</f>
        <v>29</v>
      </c>
      <c r="Z101" s="1" t="s">
        <v>11</v>
      </c>
      <c r="AA101" s="2">
        <v>3360</v>
      </c>
      <c r="AB101" s="6">
        <v>1.1180000000000001</v>
      </c>
      <c r="AC101" s="6">
        <f t="shared" si="30"/>
        <v>3756.4800000000005</v>
      </c>
      <c r="AD101" s="4">
        <f>+AA101/120</f>
        <v>28</v>
      </c>
    </row>
    <row r="102" spans="12:31" ht="15.75" customHeight="1" x14ac:dyDescent="0.2">
      <c r="L102" s="4">
        <v>8</v>
      </c>
      <c r="M102" s="4">
        <v>1080</v>
      </c>
      <c r="N102" s="4">
        <f t="shared" si="33"/>
        <v>8640</v>
      </c>
      <c r="O102" s="6">
        <f>(+N93*N102)/M102</f>
        <v>0.19399118165784834</v>
      </c>
      <c r="P102" s="4">
        <v>0.55500000000000005</v>
      </c>
      <c r="Q102" s="110">
        <f t="shared" si="34"/>
        <v>0.74899118165784839</v>
      </c>
      <c r="T102" s="1"/>
      <c r="U102" s="88">
        <f>SUM(U94:U101)</f>
        <v>15240</v>
      </c>
      <c r="W102" s="6">
        <f t="shared" ref="W102:X102" si="37">SUM(W94:W101)</f>
        <v>13085.04</v>
      </c>
      <c r="X102" s="4">
        <f t="shared" si="37"/>
        <v>72</v>
      </c>
      <c r="Z102" s="1"/>
      <c r="AA102" s="88">
        <f>SUM(AA94:AA101)</f>
        <v>23400</v>
      </c>
      <c r="AC102" s="6">
        <f t="shared" ref="AC102:AD102" si="38">SUM(AC94:AC101)</f>
        <v>20204.519999999997</v>
      </c>
      <c r="AD102" s="4">
        <f t="shared" si="38"/>
        <v>107</v>
      </c>
    </row>
    <row r="103" spans="12:31" ht="15.75" customHeight="1" x14ac:dyDescent="0.2">
      <c r="L103" s="4">
        <v>6</v>
      </c>
      <c r="M103" s="4">
        <v>0</v>
      </c>
      <c r="N103" s="4">
        <f t="shared" si="33"/>
        <v>0</v>
      </c>
      <c r="O103" s="6" t="e">
        <f>(+N98*N103)/M103</f>
        <v>#DIV/0!</v>
      </c>
      <c r="P103" s="4">
        <v>0</v>
      </c>
      <c r="Q103" s="110" t="e">
        <f t="shared" si="34"/>
        <v>#DIV/0!</v>
      </c>
      <c r="T103" s="1"/>
      <c r="U103" s="1"/>
      <c r="V103" s="4" t="s">
        <v>137</v>
      </c>
      <c r="W103" s="107">
        <v>4085.04</v>
      </c>
      <c r="Y103" s="108" t="s">
        <v>205</v>
      </c>
      <c r="Z103" s="1"/>
      <c r="AA103" s="1"/>
      <c r="AB103" s="4" t="s">
        <v>137</v>
      </c>
      <c r="AC103" s="107">
        <v>6112.87</v>
      </c>
      <c r="AE103" s="108"/>
    </row>
    <row r="104" spans="12:31" ht="15.75" customHeight="1" x14ac:dyDescent="0.2">
      <c r="L104" s="4">
        <v>12</v>
      </c>
      <c r="M104" s="4">
        <v>1920</v>
      </c>
      <c r="N104" s="4">
        <f t="shared" si="33"/>
        <v>23040</v>
      </c>
      <c r="O104" s="6">
        <f>(+N93*N104)/M104</f>
        <v>0.29098677248677252</v>
      </c>
      <c r="P104" s="4">
        <v>0.85199999999999998</v>
      </c>
      <c r="Q104" s="110">
        <f t="shared" si="34"/>
        <v>1.1429867724867724</v>
      </c>
      <c r="T104" s="1"/>
      <c r="U104" s="1"/>
      <c r="V104" s="4" t="s">
        <v>139</v>
      </c>
      <c r="W104" s="6">
        <f>+W102-W103</f>
        <v>9000</v>
      </c>
      <c r="Y104" s="108"/>
      <c r="Z104" s="1"/>
      <c r="AA104" s="1"/>
      <c r="AB104" s="4" t="s">
        <v>139</v>
      </c>
      <c r="AC104" s="6">
        <f>+AC102-AC103</f>
        <v>14091.649999999998</v>
      </c>
      <c r="AE104" s="108"/>
    </row>
    <row r="105" spans="12:31" ht="15.75" customHeight="1" x14ac:dyDescent="0.2">
      <c r="L105" s="4">
        <v>12</v>
      </c>
      <c r="M105" s="4">
        <v>1080</v>
      </c>
      <c r="N105" s="4">
        <f t="shared" si="33"/>
        <v>12960</v>
      </c>
      <c r="O105" s="6">
        <f>(+N93*N105)/M105</f>
        <v>0.29098677248677252</v>
      </c>
      <c r="P105" s="4">
        <v>1.1180000000000001</v>
      </c>
      <c r="Q105" s="110">
        <f t="shared" si="34"/>
        <v>1.4089867724867726</v>
      </c>
      <c r="V105" s="4" t="s">
        <v>206</v>
      </c>
      <c r="W105" s="4">
        <v>3300</v>
      </c>
      <c r="AB105" s="4" t="s">
        <v>206</v>
      </c>
      <c r="AC105" s="1">
        <v>6550</v>
      </c>
      <c r="AD105" s="4" t="s">
        <v>257</v>
      </c>
    </row>
    <row r="106" spans="12:31" ht="15.75" customHeight="1" x14ac:dyDescent="0.2">
      <c r="N106" s="4">
        <f>SUM(N98:N105)</f>
        <v>181440</v>
      </c>
    </row>
    <row r="107" spans="12:31" ht="15.75" customHeight="1" x14ac:dyDescent="0.2">
      <c r="AC107" s="6">
        <f>SUM(AC103:AC105)</f>
        <v>26754.519999999997</v>
      </c>
    </row>
    <row r="108" spans="12:31" ht="15.75" customHeight="1" x14ac:dyDescent="0.2"/>
    <row r="109" spans="12:31" ht="15.75" customHeight="1" x14ac:dyDescent="0.2">
      <c r="Z109" s="4" t="s">
        <v>258</v>
      </c>
    </row>
    <row r="110" spans="12:31" ht="15.75" customHeight="1" x14ac:dyDescent="0.2">
      <c r="Z110" s="4" t="s">
        <v>116</v>
      </c>
    </row>
    <row r="111" spans="12:31" ht="15.75" customHeight="1" x14ac:dyDescent="0.2">
      <c r="O111" s="6"/>
      <c r="Q111" s="110"/>
      <c r="Z111" s="4" t="s">
        <v>122</v>
      </c>
    </row>
    <row r="112" spans="12:31" ht="15.75" customHeight="1" x14ac:dyDescent="0.2">
      <c r="O112" s="6"/>
      <c r="Q112" s="110"/>
      <c r="Z112" s="1"/>
    </row>
    <row r="113" spans="15:30" ht="15.75" customHeight="1" x14ac:dyDescent="0.2">
      <c r="O113" s="6"/>
      <c r="Q113" s="110"/>
      <c r="Z113" s="1"/>
    </row>
    <row r="114" spans="15:30" ht="15.75" customHeight="1" x14ac:dyDescent="0.2">
      <c r="Z114" s="4" t="s">
        <v>126</v>
      </c>
    </row>
    <row r="115" spans="15:30" ht="15.75" customHeight="1" x14ac:dyDescent="0.2">
      <c r="Z115" s="1">
        <v>5890.88</v>
      </c>
    </row>
    <row r="116" spans="15:30" ht="15.75" customHeight="1" x14ac:dyDescent="0.2">
      <c r="Z116" s="1">
        <v>5890.88</v>
      </c>
      <c r="AA116" s="4">
        <v>11781.76</v>
      </c>
    </row>
    <row r="117" spans="15:30" ht="15.75" customHeight="1" x14ac:dyDescent="0.2">
      <c r="Z117" s="1">
        <v>1080</v>
      </c>
    </row>
    <row r="118" spans="15:30" ht="15.75" customHeight="1" x14ac:dyDescent="0.2">
      <c r="Z118" s="1">
        <f>SUM(Z115:Z117)</f>
        <v>12861.76</v>
      </c>
      <c r="AA118" s="4" t="s">
        <v>259</v>
      </c>
    </row>
    <row r="119" spans="15:30" ht="15.75" customHeight="1" x14ac:dyDescent="0.2"/>
    <row r="120" spans="15:30" ht="15.75" customHeight="1" x14ac:dyDescent="0.2"/>
    <row r="121" spans="15:30" ht="15.75" customHeight="1" x14ac:dyDescent="0.2">
      <c r="Z121" s="4" t="s">
        <v>260</v>
      </c>
    </row>
    <row r="122" spans="15:30" ht="15.75" customHeight="1" x14ac:dyDescent="0.2"/>
    <row r="123" spans="15:30" ht="15.75" customHeight="1" x14ac:dyDescent="0.2">
      <c r="Z123" s="4" t="s">
        <v>204</v>
      </c>
      <c r="AD123" s="4" t="s">
        <v>121</v>
      </c>
    </row>
    <row r="124" spans="15:30" ht="15.75" customHeight="1" x14ac:dyDescent="0.2">
      <c r="Z124" s="4">
        <v>12</v>
      </c>
      <c r="AA124" s="2">
        <v>0</v>
      </c>
      <c r="AB124" s="6">
        <v>0.90300000000000002</v>
      </c>
      <c r="AC124" s="6">
        <f t="shared" ref="AC124:AC131" si="39">+AA124*AB124</f>
        <v>0</v>
      </c>
      <c r="AD124" s="4">
        <f>+AA124/240</f>
        <v>0</v>
      </c>
    </row>
    <row r="125" spans="15:30" ht="15.75" customHeight="1" x14ac:dyDescent="0.2">
      <c r="Z125" s="4">
        <v>8</v>
      </c>
      <c r="AA125" s="2">
        <v>0</v>
      </c>
      <c r="AB125" s="6">
        <v>0.65500000000000003</v>
      </c>
      <c r="AC125" s="6">
        <f t="shared" si="39"/>
        <v>0</v>
      </c>
      <c r="AD125" s="4">
        <f>+AA125/360</f>
        <v>0</v>
      </c>
    </row>
    <row r="126" spans="15:30" ht="15.75" customHeight="1" x14ac:dyDescent="0.2">
      <c r="Z126" s="4">
        <v>6</v>
      </c>
      <c r="AA126" s="2">
        <v>0</v>
      </c>
      <c r="AB126" s="6">
        <v>0.52800000000000002</v>
      </c>
      <c r="AC126" s="6">
        <f t="shared" si="39"/>
        <v>0</v>
      </c>
      <c r="AD126" s="4">
        <f t="shared" ref="AD126:AD127" si="40">+AA126/240</f>
        <v>0</v>
      </c>
    </row>
    <row r="127" spans="15:30" ht="15.75" customHeight="1" x14ac:dyDescent="0.2">
      <c r="Z127" s="4" t="s">
        <v>128</v>
      </c>
      <c r="AA127" s="2">
        <v>0</v>
      </c>
      <c r="AB127" s="6">
        <v>0.81</v>
      </c>
      <c r="AC127" s="6">
        <f t="shared" si="39"/>
        <v>0</v>
      </c>
      <c r="AD127" s="4">
        <f t="shared" si="40"/>
        <v>0</v>
      </c>
    </row>
    <row r="128" spans="15:30" ht="15.75" customHeight="1" x14ac:dyDescent="0.2">
      <c r="Z128" s="4" t="s">
        <v>130</v>
      </c>
      <c r="AA128" s="2">
        <v>0</v>
      </c>
      <c r="AB128" s="6">
        <v>0.55500000000000005</v>
      </c>
      <c r="AC128" s="6">
        <f t="shared" si="39"/>
        <v>0</v>
      </c>
      <c r="AD128" s="4">
        <f t="shared" ref="AD128:AD129" si="41">+AA128/360</f>
        <v>0</v>
      </c>
    </row>
    <row r="129" spans="26:30" ht="15.75" customHeight="1" x14ac:dyDescent="0.2">
      <c r="Z129" s="4" t="s">
        <v>132</v>
      </c>
      <c r="AA129" s="2">
        <v>0</v>
      </c>
      <c r="AB129" s="6">
        <v>0.377</v>
      </c>
      <c r="AC129" s="6">
        <f t="shared" si="39"/>
        <v>0</v>
      </c>
      <c r="AD129" s="4">
        <f t="shared" si="41"/>
        <v>0</v>
      </c>
    </row>
    <row r="130" spans="26:30" ht="15.75" customHeight="1" x14ac:dyDescent="0.2">
      <c r="Z130" s="1" t="s">
        <v>134</v>
      </c>
      <c r="AA130" s="2">
        <v>2880</v>
      </c>
      <c r="AB130" s="6">
        <v>0.85199999999999998</v>
      </c>
      <c r="AC130" s="6">
        <f t="shared" si="39"/>
        <v>2453.7599999999998</v>
      </c>
      <c r="AD130" s="4">
        <f>+AA130/240</f>
        <v>12</v>
      </c>
    </row>
    <row r="131" spans="26:30" ht="15.75" customHeight="1" x14ac:dyDescent="0.2">
      <c r="Z131" s="1" t="s">
        <v>11</v>
      </c>
      <c r="AA131" s="2">
        <v>4800</v>
      </c>
      <c r="AB131" s="6">
        <v>1.1180000000000001</v>
      </c>
      <c r="AC131" s="6">
        <f t="shared" si="39"/>
        <v>5366.4000000000005</v>
      </c>
      <c r="AD131" s="4">
        <f>+AA131/120</f>
        <v>40</v>
      </c>
    </row>
    <row r="132" spans="26:30" ht="15.75" customHeight="1" x14ac:dyDescent="0.2">
      <c r="Z132" s="1"/>
      <c r="AA132" s="88">
        <f>SUM(AA124:AA131)</f>
        <v>7680</v>
      </c>
      <c r="AC132" s="6">
        <f t="shared" ref="AC132:AD132" si="42">SUM(AC124:AC131)</f>
        <v>7820.16</v>
      </c>
      <c r="AD132" s="4">
        <f t="shared" si="42"/>
        <v>52</v>
      </c>
    </row>
    <row r="133" spans="26:30" ht="15.75" customHeight="1" x14ac:dyDescent="0.2">
      <c r="Z133" s="1"/>
      <c r="AA133" s="1"/>
      <c r="AB133" s="4" t="s">
        <v>137</v>
      </c>
      <c r="AC133" s="107">
        <f>+AC132*0.3</f>
        <v>2346.0479999999998</v>
      </c>
    </row>
    <row r="134" spans="26:30" ht="15.75" customHeight="1" x14ac:dyDescent="0.2">
      <c r="Z134" s="1"/>
      <c r="AA134" s="1"/>
      <c r="AB134" s="4" t="s">
        <v>139</v>
      </c>
      <c r="AC134" s="6">
        <f>+AC132-AC133</f>
        <v>5474.1120000000001</v>
      </c>
    </row>
    <row r="135" spans="26:30" ht="15.75" customHeight="1" x14ac:dyDescent="0.2">
      <c r="AB135" s="4" t="s">
        <v>206</v>
      </c>
      <c r="AC135" s="1">
        <v>3280</v>
      </c>
      <c r="AD135" s="4" t="s">
        <v>257</v>
      </c>
    </row>
    <row r="136" spans="26:30" ht="15.75" customHeight="1" x14ac:dyDescent="0.2"/>
    <row r="137" spans="26:30" ht="15.75" customHeight="1" x14ac:dyDescent="0.2">
      <c r="AC137" s="6">
        <f>SUM(AC133:AC135)</f>
        <v>11100.16</v>
      </c>
    </row>
    <row r="138" spans="26:30" ht="15.75" customHeight="1" x14ac:dyDescent="0.2"/>
    <row r="139" spans="26:30" ht="15.75" customHeight="1" x14ac:dyDescent="0.2"/>
    <row r="140" spans="26:30" ht="15.75" customHeight="1" x14ac:dyDescent="0.2"/>
    <row r="141" spans="26:30" ht="15.75" customHeight="1" x14ac:dyDescent="0.2">
      <c r="Z141" s="4" t="s">
        <v>261</v>
      </c>
    </row>
    <row r="142" spans="26:30" ht="15.75" customHeight="1" x14ac:dyDescent="0.2"/>
    <row r="143" spans="26:30" ht="15.75" customHeight="1" x14ac:dyDescent="0.2">
      <c r="Z143" s="4" t="s">
        <v>204</v>
      </c>
      <c r="AD143" s="4" t="s">
        <v>121</v>
      </c>
    </row>
    <row r="144" spans="26:30" ht="15.75" customHeight="1" x14ac:dyDescent="0.2">
      <c r="Z144" s="4">
        <v>12</v>
      </c>
      <c r="AA144" s="2">
        <v>12000</v>
      </c>
      <c r="AB144" s="6">
        <v>0.90300000000000002</v>
      </c>
      <c r="AC144" s="6">
        <f t="shared" ref="AC144:AC151" si="43">+AA144*AB144</f>
        <v>10836</v>
      </c>
      <c r="AD144" s="4">
        <f>+AA144/240</f>
        <v>50</v>
      </c>
    </row>
    <row r="145" spans="26:30" ht="15.75" customHeight="1" x14ac:dyDescent="0.2">
      <c r="Z145" s="4">
        <v>8</v>
      </c>
      <c r="AA145" s="2">
        <v>5760</v>
      </c>
      <c r="AB145" s="6">
        <v>0.65500000000000003</v>
      </c>
      <c r="AC145" s="6">
        <f t="shared" si="43"/>
        <v>3772.8</v>
      </c>
      <c r="AD145" s="4">
        <f>+AA145/360</f>
        <v>16</v>
      </c>
    </row>
    <row r="146" spans="26:30" ht="15.75" customHeight="1" x14ac:dyDescent="0.2">
      <c r="Z146" s="4">
        <v>6</v>
      </c>
      <c r="AA146" s="2">
        <v>720</v>
      </c>
      <c r="AB146" s="6">
        <v>0.52800000000000002</v>
      </c>
      <c r="AC146" s="6">
        <f t="shared" si="43"/>
        <v>380.16</v>
      </c>
      <c r="AD146" s="4">
        <f t="shared" ref="AD146:AD147" si="44">+AA146/240</f>
        <v>3</v>
      </c>
    </row>
    <row r="147" spans="26:30" ht="15.75" customHeight="1" x14ac:dyDescent="0.2">
      <c r="Z147" s="4" t="s">
        <v>128</v>
      </c>
      <c r="AA147" s="2">
        <v>2400</v>
      </c>
      <c r="AB147" s="6">
        <v>0.81</v>
      </c>
      <c r="AC147" s="6">
        <f t="shared" si="43"/>
        <v>1944.0000000000002</v>
      </c>
      <c r="AD147" s="4">
        <f t="shared" si="44"/>
        <v>10</v>
      </c>
    </row>
    <row r="148" spans="26:30" ht="15.75" customHeight="1" x14ac:dyDescent="0.2">
      <c r="Z148" s="4" t="s">
        <v>130</v>
      </c>
      <c r="AA148" s="2">
        <v>1080</v>
      </c>
      <c r="AB148" s="6">
        <v>0.55500000000000005</v>
      </c>
      <c r="AC148" s="6">
        <f t="shared" si="43"/>
        <v>599.40000000000009</v>
      </c>
      <c r="AD148" s="4">
        <f t="shared" ref="AD148:AD149" si="45">+AA148/360</f>
        <v>3</v>
      </c>
    </row>
    <row r="149" spans="26:30" ht="15.75" customHeight="1" x14ac:dyDescent="0.2">
      <c r="Z149" s="4" t="s">
        <v>132</v>
      </c>
      <c r="AA149" s="2">
        <v>360</v>
      </c>
      <c r="AB149" s="6">
        <v>0.377</v>
      </c>
      <c r="AC149" s="6">
        <f t="shared" si="43"/>
        <v>135.72</v>
      </c>
      <c r="AD149" s="4">
        <f t="shared" si="45"/>
        <v>1</v>
      </c>
    </row>
    <row r="150" spans="26:30" ht="15.75" customHeight="1" x14ac:dyDescent="0.2">
      <c r="Z150" s="1" t="s">
        <v>134</v>
      </c>
      <c r="AA150" s="2">
        <v>0</v>
      </c>
      <c r="AB150" s="6">
        <v>0.85199999999999998</v>
      </c>
      <c r="AC150" s="6">
        <f t="shared" si="43"/>
        <v>0</v>
      </c>
      <c r="AD150" s="4">
        <f>+AA150/240</f>
        <v>0</v>
      </c>
    </row>
    <row r="151" spans="26:30" ht="15.75" customHeight="1" x14ac:dyDescent="0.2">
      <c r="Z151" s="1" t="s">
        <v>11</v>
      </c>
      <c r="AA151" s="2">
        <v>0</v>
      </c>
      <c r="AB151" s="6">
        <v>1.1180000000000001</v>
      </c>
      <c r="AC151" s="6">
        <f t="shared" si="43"/>
        <v>0</v>
      </c>
      <c r="AD151" s="4">
        <f>+AA151/120</f>
        <v>0</v>
      </c>
    </row>
    <row r="152" spans="26:30" ht="15.75" customHeight="1" x14ac:dyDescent="0.2">
      <c r="Z152" s="1"/>
      <c r="AA152" s="88">
        <f>SUM(AA144:AA151)</f>
        <v>22320</v>
      </c>
      <c r="AC152" s="6">
        <f t="shared" ref="AC152:AD152" si="46">SUM(AC144:AC151)</f>
        <v>17668.080000000002</v>
      </c>
      <c r="AD152" s="4">
        <f t="shared" si="46"/>
        <v>83</v>
      </c>
    </row>
    <row r="153" spans="26:30" ht="15.75" customHeight="1" x14ac:dyDescent="0.2">
      <c r="Z153" s="1"/>
      <c r="AA153" s="1"/>
      <c r="AB153" s="4" t="s">
        <v>137</v>
      </c>
      <c r="AC153" s="107">
        <f>+AC152*0.3</f>
        <v>5300.424</v>
      </c>
    </row>
    <row r="154" spans="26:30" ht="15.75" customHeight="1" x14ac:dyDescent="0.2">
      <c r="Z154" s="1"/>
      <c r="AA154" s="1"/>
      <c r="AB154" s="4" t="s">
        <v>139</v>
      </c>
      <c r="AC154" s="6">
        <f>+AC152-AC153</f>
        <v>12367.656000000003</v>
      </c>
    </row>
    <row r="155" spans="26:30" ht="15.75" customHeight="1" x14ac:dyDescent="0.2">
      <c r="AB155" s="4" t="s">
        <v>206</v>
      </c>
      <c r="AC155" s="1">
        <f>+AC152*0.25</f>
        <v>4417.0200000000004</v>
      </c>
      <c r="AD155" s="4" t="s">
        <v>257</v>
      </c>
    </row>
    <row r="156" spans="26:30" ht="15.75" customHeight="1" x14ac:dyDescent="0.2"/>
    <row r="157" spans="26:30" ht="15.75" customHeight="1" x14ac:dyDescent="0.2">
      <c r="AC157" s="6">
        <f>SUM(AC153:AC155)</f>
        <v>22085.100000000002</v>
      </c>
    </row>
    <row r="158" spans="26:30" ht="15.75" customHeight="1" x14ac:dyDescent="0.2"/>
    <row r="159" spans="26:30" ht="15.75" customHeight="1" x14ac:dyDescent="0.2"/>
    <row r="160" spans="26:3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BE1003"/>
  <sheetViews>
    <sheetView tabSelected="1" topLeftCell="A4" workbookViewId="0">
      <pane xSplit="6" ySplit="7" topLeftCell="G11" activePane="bottomRight" state="frozen"/>
      <selection activeCell="A4" sqref="A4"/>
      <selection pane="topRight" activeCell="G4" sqref="G4"/>
      <selection pane="bottomLeft" activeCell="A11" sqref="A11"/>
      <selection pane="bottomRight" activeCell="A3" sqref="A3:H8"/>
    </sheetView>
  </sheetViews>
  <sheetFormatPr baseColWidth="10" defaultColWidth="14.5" defaultRowHeight="15" customHeight="1" outlineLevelRow="1" x14ac:dyDescent="0.2"/>
  <cols>
    <col min="1" max="1" width="23.1640625" customWidth="1"/>
    <col min="2" max="2" width="7.1640625" customWidth="1"/>
    <col min="3" max="3" width="5.5" customWidth="1"/>
    <col min="4" max="4" width="5.83203125" customWidth="1"/>
    <col min="5" max="5" width="4.1640625" customWidth="1"/>
    <col min="6" max="6" width="9.83203125" customWidth="1"/>
    <col min="7" max="56" width="9" customWidth="1"/>
    <col min="57" max="57" width="4" customWidth="1"/>
  </cols>
  <sheetData>
    <row r="1" spans="1:57" ht="72.75" customHeight="1" x14ac:dyDescent="0.2">
      <c r="A1" s="113"/>
      <c r="B1" s="165" t="s">
        <v>262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14"/>
      <c r="N1" s="115"/>
      <c r="O1" s="115"/>
      <c r="P1" s="115"/>
      <c r="Q1" s="115"/>
      <c r="R1" s="115"/>
      <c r="S1" s="115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</row>
    <row r="2" spans="1:57" ht="36.75" customHeight="1" x14ac:dyDescent="0.2">
      <c r="A2" s="177" t="s">
        <v>263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14"/>
      <c r="N2" s="115"/>
      <c r="O2" s="115"/>
      <c r="P2" s="115"/>
      <c r="Q2" s="115"/>
      <c r="R2" s="115"/>
      <c r="S2" s="115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</row>
    <row r="3" spans="1:57" ht="17.25" customHeight="1" x14ac:dyDescent="0.2">
      <c r="A3" s="168" t="s">
        <v>264</v>
      </c>
      <c r="B3" s="169"/>
      <c r="C3" s="169"/>
      <c r="D3" s="169"/>
      <c r="E3" s="169"/>
      <c r="F3" s="169"/>
      <c r="G3" s="169"/>
      <c r="H3" s="170"/>
      <c r="I3" s="176"/>
      <c r="J3" s="116"/>
      <c r="K3" s="117" t="s">
        <v>265</v>
      </c>
      <c r="L3" s="117"/>
      <c r="M3" s="114"/>
      <c r="N3" s="115"/>
      <c r="O3" s="115"/>
      <c r="P3" s="115"/>
      <c r="Q3" s="115"/>
      <c r="R3" s="115"/>
      <c r="S3" s="115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</row>
    <row r="4" spans="1:57" ht="17.25" customHeight="1" x14ac:dyDescent="0.2">
      <c r="A4" s="171"/>
      <c r="B4" s="162"/>
      <c r="C4" s="162"/>
      <c r="D4" s="162"/>
      <c r="E4" s="162"/>
      <c r="F4" s="162"/>
      <c r="G4" s="162"/>
      <c r="H4" s="172"/>
      <c r="I4" s="162"/>
      <c r="J4" s="118"/>
      <c r="K4" s="163" t="s">
        <v>266</v>
      </c>
      <c r="L4" s="164"/>
      <c r="M4" s="114"/>
      <c r="N4" s="115"/>
      <c r="O4" s="115"/>
      <c r="P4" s="115"/>
      <c r="Q4" s="115"/>
      <c r="R4" s="115"/>
      <c r="S4" s="115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</row>
    <row r="5" spans="1:57" ht="17.25" customHeight="1" x14ac:dyDescent="0.2">
      <c r="A5" s="171"/>
      <c r="B5" s="162"/>
      <c r="C5" s="162"/>
      <c r="D5" s="162"/>
      <c r="E5" s="162"/>
      <c r="F5" s="162"/>
      <c r="G5" s="162"/>
      <c r="H5" s="172"/>
      <c r="I5" s="162"/>
      <c r="J5" s="119"/>
      <c r="K5" s="163" t="s">
        <v>266</v>
      </c>
      <c r="L5" s="164"/>
      <c r="M5" s="114"/>
      <c r="N5" s="115"/>
      <c r="O5" s="115"/>
      <c r="P5" s="115"/>
      <c r="Q5" s="115"/>
      <c r="R5" s="115"/>
      <c r="S5" s="115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</row>
    <row r="6" spans="1:57" ht="17.25" customHeight="1" x14ac:dyDescent="0.2">
      <c r="A6" s="171"/>
      <c r="B6" s="162"/>
      <c r="C6" s="162"/>
      <c r="D6" s="162"/>
      <c r="E6" s="162"/>
      <c r="F6" s="162"/>
      <c r="G6" s="162"/>
      <c r="H6" s="172"/>
      <c r="I6" s="162"/>
      <c r="J6" s="166"/>
      <c r="K6" s="167"/>
      <c r="L6" s="16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</row>
    <row r="7" spans="1:57" ht="17.25" customHeight="1" x14ac:dyDescent="0.2">
      <c r="A7" s="171"/>
      <c r="B7" s="162"/>
      <c r="C7" s="162"/>
      <c r="D7" s="162"/>
      <c r="E7" s="162"/>
      <c r="F7" s="162"/>
      <c r="G7" s="162"/>
      <c r="H7" s="172"/>
      <c r="I7" s="162"/>
      <c r="J7" s="120"/>
      <c r="K7" s="163" t="s">
        <v>267</v>
      </c>
      <c r="L7" s="16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</row>
    <row r="8" spans="1:57" ht="17.25" customHeight="1" x14ac:dyDescent="0.2">
      <c r="A8" s="173"/>
      <c r="B8" s="174"/>
      <c r="C8" s="174"/>
      <c r="D8" s="174"/>
      <c r="E8" s="174"/>
      <c r="F8" s="174"/>
      <c r="G8" s="174"/>
      <c r="H8" s="175"/>
      <c r="I8" s="174"/>
      <c r="J8" s="121"/>
      <c r="K8" s="163" t="s">
        <v>267</v>
      </c>
      <c r="L8" s="16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</row>
    <row r="9" spans="1:57" ht="17.25" customHeight="1" x14ac:dyDescent="0.2">
      <c r="A9" s="122"/>
      <c r="B9" s="123"/>
      <c r="C9" s="123"/>
      <c r="D9" s="123"/>
      <c r="E9" s="123"/>
      <c r="F9" s="123"/>
      <c r="G9" s="123"/>
      <c r="H9" s="123"/>
      <c r="I9" s="123"/>
      <c r="K9" s="4"/>
      <c r="L9" s="124"/>
      <c r="M9" s="12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</row>
    <row r="10" spans="1:57" ht="97.5" customHeight="1" x14ac:dyDescent="0.2">
      <c r="A10" s="125" t="s">
        <v>268</v>
      </c>
      <c r="B10" s="126" t="s">
        <v>269</v>
      </c>
      <c r="C10" s="127" t="s">
        <v>270</v>
      </c>
      <c r="D10" s="127" t="s">
        <v>271</v>
      </c>
      <c r="E10" s="128"/>
      <c r="F10" s="128"/>
      <c r="G10" s="129" t="s">
        <v>272</v>
      </c>
      <c r="H10" s="129" t="s">
        <v>273</v>
      </c>
      <c r="I10" s="129" t="s">
        <v>274</v>
      </c>
      <c r="J10" s="129" t="s">
        <v>275</v>
      </c>
      <c r="K10" s="129" t="s">
        <v>276</v>
      </c>
      <c r="L10" s="129" t="s">
        <v>277</v>
      </c>
      <c r="M10" s="129" t="s">
        <v>278</v>
      </c>
      <c r="N10" s="129" t="s">
        <v>279</v>
      </c>
      <c r="O10" s="129" t="s">
        <v>280</v>
      </c>
      <c r="P10" s="129" t="s">
        <v>281</v>
      </c>
      <c r="Q10" s="129" t="s">
        <v>282</v>
      </c>
      <c r="R10" s="129" t="s">
        <v>283</v>
      </c>
      <c r="S10" s="129" t="s">
        <v>284</v>
      </c>
      <c r="T10" s="129" t="s">
        <v>285</v>
      </c>
      <c r="U10" s="129" t="s">
        <v>286</v>
      </c>
      <c r="V10" s="129" t="s">
        <v>287</v>
      </c>
      <c r="W10" s="129" t="s">
        <v>288</v>
      </c>
      <c r="X10" s="129" t="s">
        <v>289</v>
      </c>
      <c r="Y10" s="129" t="s">
        <v>290</v>
      </c>
      <c r="Z10" s="129" t="s">
        <v>291</v>
      </c>
      <c r="AA10" s="129" t="s">
        <v>292</v>
      </c>
      <c r="AB10" s="129" t="s">
        <v>293</v>
      </c>
      <c r="AC10" s="129" t="s">
        <v>294</v>
      </c>
      <c r="AD10" s="129" t="s">
        <v>295</v>
      </c>
      <c r="AE10" s="129" t="s">
        <v>296</v>
      </c>
      <c r="AF10" s="129" t="s">
        <v>297</v>
      </c>
      <c r="AG10" s="129" t="s">
        <v>298</v>
      </c>
      <c r="AH10" s="129" t="s">
        <v>47</v>
      </c>
      <c r="AI10" s="129" t="s">
        <v>299</v>
      </c>
      <c r="AJ10" s="129" t="s">
        <v>300</v>
      </c>
      <c r="AK10" s="129" t="s">
        <v>301</v>
      </c>
      <c r="AL10" s="129" t="s">
        <v>302</v>
      </c>
      <c r="AM10" s="129" t="s">
        <v>303</v>
      </c>
      <c r="AN10" s="129" t="s">
        <v>304</v>
      </c>
      <c r="AO10" s="129" t="s">
        <v>305</v>
      </c>
      <c r="AP10" s="129" t="s">
        <v>306</v>
      </c>
      <c r="AQ10" s="129" t="s">
        <v>307</v>
      </c>
      <c r="AR10" s="129" t="s">
        <v>308</v>
      </c>
      <c r="AS10" s="129" t="s">
        <v>309</v>
      </c>
      <c r="AT10" s="129" t="s">
        <v>310</v>
      </c>
      <c r="AU10" s="129" t="s">
        <v>311</v>
      </c>
      <c r="AV10" s="129" t="s">
        <v>312</v>
      </c>
      <c r="AW10" s="129" t="s">
        <v>313</v>
      </c>
      <c r="AX10" s="129" t="s">
        <v>314</v>
      </c>
      <c r="AY10" s="129" t="s">
        <v>315</v>
      </c>
      <c r="AZ10" s="129" t="s">
        <v>316</v>
      </c>
      <c r="BA10" s="129" t="s">
        <v>317</v>
      </c>
      <c r="BB10" s="129" t="s">
        <v>318</v>
      </c>
      <c r="BC10" s="129" t="s">
        <v>319</v>
      </c>
      <c r="BD10" s="129" t="s">
        <v>320</v>
      </c>
      <c r="BE10" s="130"/>
    </row>
    <row r="11" spans="1:57" ht="16" outlineLevel="1" x14ac:dyDescent="0.2">
      <c r="A11" s="131" t="s">
        <v>6</v>
      </c>
      <c r="B11" s="132">
        <v>0.1</v>
      </c>
      <c r="C11" s="133">
        <v>24</v>
      </c>
      <c r="D11" s="133">
        <v>10</v>
      </c>
      <c r="E11" s="134"/>
      <c r="F11" s="128" t="s">
        <v>321</v>
      </c>
      <c r="G11" s="118">
        <f>C11*1</f>
        <v>24</v>
      </c>
      <c r="H11" s="118">
        <f t="shared" ref="H11:BD11" si="0">G11+24</f>
        <v>48</v>
      </c>
      <c r="I11" s="118">
        <f t="shared" si="0"/>
        <v>72</v>
      </c>
      <c r="J11" s="118">
        <f t="shared" si="0"/>
        <v>96</v>
      </c>
      <c r="K11" s="118">
        <f t="shared" si="0"/>
        <v>120</v>
      </c>
      <c r="L11" s="118">
        <f t="shared" si="0"/>
        <v>144</v>
      </c>
      <c r="M11" s="118">
        <f t="shared" si="0"/>
        <v>168</v>
      </c>
      <c r="N11" s="118">
        <f t="shared" si="0"/>
        <v>192</v>
      </c>
      <c r="O11" s="118">
        <f t="shared" si="0"/>
        <v>216</v>
      </c>
      <c r="P11" s="120">
        <f t="shared" si="0"/>
        <v>240</v>
      </c>
      <c r="Q11" s="119">
        <f t="shared" si="0"/>
        <v>264</v>
      </c>
      <c r="R11" s="119">
        <f t="shared" si="0"/>
        <v>288</v>
      </c>
      <c r="S11" s="119">
        <f t="shared" si="0"/>
        <v>312</v>
      </c>
      <c r="T11" s="119">
        <f t="shared" si="0"/>
        <v>336</v>
      </c>
      <c r="U11" s="119">
        <f t="shared" si="0"/>
        <v>360</v>
      </c>
      <c r="V11" s="119">
        <f t="shared" si="0"/>
        <v>384</v>
      </c>
      <c r="W11" s="119">
        <f t="shared" si="0"/>
        <v>408</v>
      </c>
      <c r="X11" s="119">
        <f t="shared" si="0"/>
        <v>432</v>
      </c>
      <c r="Y11" s="119">
        <f t="shared" si="0"/>
        <v>456</v>
      </c>
      <c r="Z11" s="121">
        <f t="shared" si="0"/>
        <v>480</v>
      </c>
      <c r="AA11" s="118">
        <f t="shared" si="0"/>
        <v>504</v>
      </c>
      <c r="AB11" s="118">
        <f t="shared" si="0"/>
        <v>528</v>
      </c>
      <c r="AC11" s="118">
        <f t="shared" si="0"/>
        <v>552</v>
      </c>
      <c r="AD11" s="118">
        <f t="shared" si="0"/>
        <v>576</v>
      </c>
      <c r="AE11" s="118">
        <f t="shared" si="0"/>
        <v>600</v>
      </c>
      <c r="AF11" s="118">
        <f t="shared" si="0"/>
        <v>624</v>
      </c>
      <c r="AG11" s="118">
        <f t="shared" si="0"/>
        <v>648</v>
      </c>
      <c r="AH11" s="118">
        <f t="shared" si="0"/>
        <v>672</v>
      </c>
      <c r="AI11" s="118">
        <f t="shared" si="0"/>
        <v>696</v>
      </c>
      <c r="AJ11" s="120">
        <f t="shared" si="0"/>
        <v>720</v>
      </c>
      <c r="AK11" s="119">
        <f t="shared" si="0"/>
        <v>744</v>
      </c>
      <c r="AL11" s="119">
        <f t="shared" si="0"/>
        <v>768</v>
      </c>
      <c r="AM11" s="119">
        <f t="shared" si="0"/>
        <v>792</v>
      </c>
      <c r="AN11" s="119">
        <f t="shared" si="0"/>
        <v>816</v>
      </c>
      <c r="AO11" s="119">
        <f t="shared" si="0"/>
        <v>840</v>
      </c>
      <c r="AP11" s="119">
        <f t="shared" si="0"/>
        <v>864</v>
      </c>
      <c r="AQ11" s="119">
        <f t="shared" si="0"/>
        <v>888</v>
      </c>
      <c r="AR11" s="119">
        <f t="shared" si="0"/>
        <v>912</v>
      </c>
      <c r="AS11" s="119">
        <f t="shared" si="0"/>
        <v>936</v>
      </c>
      <c r="AT11" s="121">
        <f t="shared" si="0"/>
        <v>960</v>
      </c>
      <c r="AU11" s="118">
        <f t="shared" si="0"/>
        <v>984</v>
      </c>
      <c r="AV11" s="118">
        <f t="shared" si="0"/>
        <v>1008</v>
      </c>
      <c r="AW11" s="118">
        <f t="shared" si="0"/>
        <v>1032</v>
      </c>
      <c r="AX11" s="118">
        <f t="shared" si="0"/>
        <v>1056</v>
      </c>
      <c r="AY11" s="118">
        <f t="shared" si="0"/>
        <v>1080</v>
      </c>
      <c r="AZ11" s="118">
        <f t="shared" si="0"/>
        <v>1104</v>
      </c>
      <c r="BA11" s="118">
        <f t="shared" si="0"/>
        <v>1128</v>
      </c>
      <c r="BB11" s="118">
        <f t="shared" si="0"/>
        <v>1152</v>
      </c>
      <c r="BC11" s="118">
        <f t="shared" si="0"/>
        <v>1176</v>
      </c>
      <c r="BD11" s="120">
        <f t="shared" si="0"/>
        <v>1200</v>
      </c>
      <c r="BE11" s="161"/>
    </row>
    <row r="12" spans="1:57" outlineLevel="1" x14ac:dyDescent="0.2">
      <c r="A12" s="135"/>
      <c r="B12" s="136"/>
      <c r="C12" s="136"/>
      <c r="D12" s="136"/>
      <c r="E12" s="136"/>
      <c r="F12" s="135" t="s">
        <v>322</v>
      </c>
      <c r="G12" s="137">
        <f t="shared" ref="G12:BD12" si="1">G11*0.1</f>
        <v>2.4000000000000004</v>
      </c>
      <c r="H12" s="137">
        <f t="shared" si="1"/>
        <v>4.8000000000000007</v>
      </c>
      <c r="I12" s="137">
        <f t="shared" si="1"/>
        <v>7.2</v>
      </c>
      <c r="J12" s="137">
        <f t="shared" si="1"/>
        <v>9.6000000000000014</v>
      </c>
      <c r="K12" s="137">
        <f t="shared" si="1"/>
        <v>12</v>
      </c>
      <c r="L12" s="137">
        <f t="shared" si="1"/>
        <v>14.4</v>
      </c>
      <c r="M12" s="137">
        <f t="shared" si="1"/>
        <v>16.8</v>
      </c>
      <c r="N12" s="137">
        <f t="shared" si="1"/>
        <v>19.200000000000003</v>
      </c>
      <c r="O12" s="137">
        <f t="shared" si="1"/>
        <v>21.6</v>
      </c>
      <c r="P12" s="137">
        <f t="shared" si="1"/>
        <v>24</v>
      </c>
      <c r="Q12" s="137">
        <f t="shared" si="1"/>
        <v>26.400000000000002</v>
      </c>
      <c r="R12" s="137">
        <f t="shared" si="1"/>
        <v>28.8</v>
      </c>
      <c r="S12" s="137">
        <f t="shared" si="1"/>
        <v>31.200000000000003</v>
      </c>
      <c r="T12" s="137">
        <f t="shared" si="1"/>
        <v>33.6</v>
      </c>
      <c r="U12" s="137">
        <f t="shared" si="1"/>
        <v>36</v>
      </c>
      <c r="V12" s="137">
        <f t="shared" si="1"/>
        <v>38.400000000000006</v>
      </c>
      <c r="W12" s="137">
        <f t="shared" si="1"/>
        <v>40.800000000000004</v>
      </c>
      <c r="X12" s="137">
        <f t="shared" si="1"/>
        <v>43.2</v>
      </c>
      <c r="Y12" s="137">
        <f t="shared" si="1"/>
        <v>45.6</v>
      </c>
      <c r="Z12" s="137">
        <f t="shared" si="1"/>
        <v>48</v>
      </c>
      <c r="AA12" s="137">
        <f t="shared" si="1"/>
        <v>50.400000000000006</v>
      </c>
      <c r="AB12" s="137">
        <f t="shared" si="1"/>
        <v>52.800000000000004</v>
      </c>
      <c r="AC12" s="137">
        <f t="shared" si="1"/>
        <v>55.2</v>
      </c>
      <c r="AD12" s="137">
        <f t="shared" si="1"/>
        <v>57.6</v>
      </c>
      <c r="AE12" s="137">
        <f t="shared" si="1"/>
        <v>60</v>
      </c>
      <c r="AF12" s="137">
        <f t="shared" si="1"/>
        <v>62.400000000000006</v>
      </c>
      <c r="AG12" s="137">
        <f t="shared" si="1"/>
        <v>64.8</v>
      </c>
      <c r="AH12" s="137">
        <f t="shared" si="1"/>
        <v>67.2</v>
      </c>
      <c r="AI12" s="137">
        <f t="shared" si="1"/>
        <v>69.600000000000009</v>
      </c>
      <c r="AJ12" s="137">
        <f t="shared" si="1"/>
        <v>72</v>
      </c>
      <c r="AK12" s="137">
        <f t="shared" si="1"/>
        <v>74.400000000000006</v>
      </c>
      <c r="AL12" s="137">
        <f t="shared" si="1"/>
        <v>76.800000000000011</v>
      </c>
      <c r="AM12" s="137">
        <f t="shared" si="1"/>
        <v>79.2</v>
      </c>
      <c r="AN12" s="137">
        <f t="shared" si="1"/>
        <v>81.600000000000009</v>
      </c>
      <c r="AO12" s="137">
        <f t="shared" si="1"/>
        <v>84</v>
      </c>
      <c r="AP12" s="137">
        <f t="shared" si="1"/>
        <v>86.4</v>
      </c>
      <c r="AQ12" s="137">
        <f t="shared" si="1"/>
        <v>88.800000000000011</v>
      </c>
      <c r="AR12" s="137">
        <f t="shared" si="1"/>
        <v>91.2</v>
      </c>
      <c r="AS12" s="137">
        <f t="shared" si="1"/>
        <v>93.600000000000009</v>
      </c>
      <c r="AT12" s="137">
        <f t="shared" si="1"/>
        <v>96</v>
      </c>
      <c r="AU12" s="137">
        <f t="shared" si="1"/>
        <v>98.4</v>
      </c>
      <c r="AV12" s="137">
        <f t="shared" si="1"/>
        <v>100.80000000000001</v>
      </c>
      <c r="AW12" s="137">
        <f t="shared" si="1"/>
        <v>103.2</v>
      </c>
      <c r="AX12" s="137">
        <f t="shared" si="1"/>
        <v>105.60000000000001</v>
      </c>
      <c r="AY12" s="137">
        <f t="shared" si="1"/>
        <v>108</v>
      </c>
      <c r="AZ12" s="137">
        <f t="shared" si="1"/>
        <v>110.4</v>
      </c>
      <c r="BA12" s="137">
        <f t="shared" si="1"/>
        <v>112.80000000000001</v>
      </c>
      <c r="BB12" s="137">
        <f t="shared" si="1"/>
        <v>115.2</v>
      </c>
      <c r="BC12" s="137">
        <f t="shared" si="1"/>
        <v>117.60000000000001</v>
      </c>
      <c r="BD12" s="137">
        <f t="shared" si="1"/>
        <v>120</v>
      </c>
      <c r="BE12" s="162"/>
    </row>
    <row r="13" spans="1:57" outlineLevel="1" x14ac:dyDescent="0.2">
      <c r="A13" s="138"/>
      <c r="B13" s="139"/>
      <c r="C13" s="140"/>
      <c r="D13" s="140"/>
      <c r="E13" s="141"/>
      <c r="F13" s="142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4"/>
      <c r="AU13" s="143"/>
      <c r="AV13" s="143"/>
      <c r="AW13" s="144"/>
      <c r="AX13" s="143"/>
      <c r="AY13" s="143"/>
      <c r="AZ13" s="145"/>
      <c r="BA13" s="146"/>
      <c r="BB13" s="146"/>
      <c r="BC13" s="145"/>
      <c r="BD13" s="146"/>
      <c r="BE13" s="162"/>
    </row>
    <row r="14" spans="1:57" ht="16" outlineLevel="1" x14ac:dyDescent="0.2">
      <c r="A14" s="131" t="s">
        <v>9</v>
      </c>
      <c r="B14" s="132">
        <v>0.1</v>
      </c>
      <c r="C14" s="133">
        <v>36</v>
      </c>
      <c r="D14" s="133">
        <v>15</v>
      </c>
      <c r="E14" s="134"/>
      <c r="F14" s="128" t="s">
        <v>321</v>
      </c>
      <c r="G14" s="118">
        <f>C14*1</f>
        <v>36</v>
      </c>
      <c r="H14" s="118">
        <f t="shared" ref="H14:AY14" si="2">G14+36</f>
        <v>72</v>
      </c>
      <c r="I14" s="118">
        <f t="shared" si="2"/>
        <v>108</v>
      </c>
      <c r="J14" s="118">
        <f t="shared" si="2"/>
        <v>144</v>
      </c>
      <c r="K14" s="118">
        <f t="shared" si="2"/>
        <v>180</v>
      </c>
      <c r="L14" s="118">
        <f t="shared" si="2"/>
        <v>216</v>
      </c>
      <c r="M14" s="118">
        <f t="shared" si="2"/>
        <v>252</v>
      </c>
      <c r="N14" s="118">
        <f t="shared" si="2"/>
        <v>288</v>
      </c>
      <c r="O14" s="118">
        <f t="shared" si="2"/>
        <v>324</v>
      </c>
      <c r="P14" s="118">
        <f t="shared" si="2"/>
        <v>360</v>
      </c>
      <c r="Q14" s="118">
        <f t="shared" si="2"/>
        <v>396</v>
      </c>
      <c r="R14" s="118">
        <f t="shared" si="2"/>
        <v>432</v>
      </c>
      <c r="S14" s="118">
        <f t="shared" si="2"/>
        <v>468</v>
      </c>
      <c r="T14" s="118">
        <f t="shared" si="2"/>
        <v>504</v>
      </c>
      <c r="U14" s="120">
        <f t="shared" si="2"/>
        <v>540</v>
      </c>
      <c r="V14" s="119">
        <f t="shared" si="2"/>
        <v>576</v>
      </c>
      <c r="W14" s="119">
        <f t="shared" si="2"/>
        <v>612</v>
      </c>
      <c r="X14" s="119">
        <f t="shared" si="2"/>
        <v>648</v>
      </c>
      <c r="Y14" s="119">
        <f t="shared" si="2"/>
        <v>684</v>
      </c>
      <c r="Z14" s="119">
        <f t="shared" si="2"/>
        <v>720</v>
      </c>
      <c r="AA14" s="119">
        <f t="shared" si="2"/>
        <v>756</v>
      </c>
      <c r="AB14" s="119">
        <f t="shared" si="2"/>
        <v>792</v>
      </c>
      <c r="AC14" s="119">
        <f t="shared" si="2"/>
        <v>828</v>
      </c>
      <c r="AD14" s="119">
        <f t="shared" si="2"/>
        <v>864</v>
      </c>
      <c r="AE14" s="119">
        <f t="shared" si="2"/>
        <v>900</v>
      </c>
      <c r="AF14" s="119">
        <f t="shared" si="2"/>
        <v>936</v>
      </c>
      <c r="AG14" s="119">
        <f t="shared" si="2"/>
        <v>972</v>
      </c>
      <c r="AH14" s="119">
        <f t="shared" si="2"/>
        <v>1008</v>
      </c>
      <c r="AI14" s="119">
        <f t="shared" si="2"/>
        <v>1044</v>
      </c>
      <c r="AJ14" s="121">
        <f t="shared" si="2"/>
        <v>1080</v>
      </c>
      <c r="AK14" s="118">
        <f t="shared" si="2"/>
        <v>1116</v>
      </c>
      <c r="AL14" s="118">
        <f t="shared" si="2"/>
        <v>1152</v>
      </c>
      <c r="AM14" s="118">
        <f t="shared" si="2"/>
        <v>1188</v>
      </c>
      <c r="AN14" s="118">
        <f t="shared" si="2"/>
        <v>1224</v>
      </c>
      <c r="AO14" s="118">
        <f t="shared" si="2"/>
        <v>1260</v>
      </c>
      <c r="AP14" s="118">
        <f t="shared" si="2"/>
        <v>1296</v>
      </c>
      <c r="AQ14" s="118">
        <f t="shared" si="2"/>
        <v>1332</v>
      </c>
      <c r="AR14" s="118">
        <f t="shared" si="2"/>
        <v>1368</v>
      </c>
      <c r="AS14" s="118">
        <f t="shared" si="2"/>
        <v>1404</v>
      </c>
      <c r="AT14" s="118">
        <f t="shared" si="2"/>
        <v>1440</v>
      </c>
      <c r="AU14" s="118">
        <f t="shared" si="2"/>
        <v>1476</v>
      </c>
      <c r="AV14" s="118">
        <f t="shared" si="2"/>
        <v>1512</v>
      </c>
      <c r="AW14" s="118">
        <f t="shared" si="2"/>
        <v>1548</v>
      </c>
      <c r="AX14" s="118">
        <f t="shared" si="2"/>
        <v>1584</v>
      </c>
      <c r="AY14" s="120">
        <f t="shared" si="2"/>
        <v>1620</v>
      </c>
      <c r="AZ14" s="4"/>
      <c r="BA14" s="4"/>
      <c r="BB14" s="4"/>
      <c r="BC14" s="4"/>
      <c r="BD14" s="4"/>
      <c r="BE14" s="162"/>
    </row>
    <row r="15" spans="1:57" outlineLevel="1" x14ac:dyDescent="0.2">
      <c r="A15" s="135"/>
      <c r="B15" s="147"/>
      <c r="C15" s="136"/>
      <c r="D15" s="136"/>
      <c r="E15" s="136"/>
      <c r="F15" s="135" t="s">
        <v>322</v>
      </c>
      <c r="G15" s="137">
        <f t="shared" ref="G15:AY15" si="3">G14*0.1</f>
        <v>3.6</v>
      </c>
      <c r="H15" s="137">
        <f t="shared" si="3"/>
        <v>7.2</v>
      </c>
      <c r="I15" s="137">
        <f t="shared" si="3"/>
        <v>10.8</v>
      </c>
      <c r="J15" s="137">
        <f t="shared" si="3"/>
        <v>14.4</v>
      </c>
      <c r="K15" s="137">
        <f t="shared" si="3"/>
        <v>18</v>
      </c>
      <c r="L15" s="137">
        <f t="shared" si="3"/>
        <v>21.6</v>
      </c>
      <c r="M15" s="137">
        <f t="shared" si="3"/>
        <v>25.200000000000003</v>
      </c>
      <c r="N15" s="137">
        <f t="shared" si="3"/>
        <v>28.8</v>
      </c>
      <c r="O15" s="137">
        <f t="shared" si="3"/>
        <v>32.4</v>
      </c>
      <c r="P15" s="137">
        <f t="shared" si="3"/>
        <v>36</v>
      </c>
      <c r="Q15" s="137">
        <f t="shared" si="3"/>
        <v>39.6</v>
      </c>
      <c r="R15" s="137">
        <f t="shared" si="3"/>
        <v>43.2</v>
      </c>
      <c r="S15" s="137">
        <f t="shared" si="3"/>
        <v>46.800000000000004</v>
      </c>
      <c r="T15" s="137">
        <f t="shared" si="3"/>
        <v>50.400000000000006</v>
      </c>
      <c r="U15" s="137">
        <f t="shared" si="3"/>
        <v>54</v>
      </c>
      <c r="V15" s="137">
        <f t="shared" si="3"/>
        <v>57.6</v>
      </c>
      <c r="W15" s="137">
        <f t="shared" si="3"/>
        <v>61.2</v>
      </c>
      <c r="X15" s="137">
        <f t="shared" si="3"/>
        <v>64.8</v>
      </c>
      <c r="Y15" s="137">
        <f t="shared" si="3"/>
        <v>68.400000000000006</v>
      </c>
      <c r="Z15" s="137">
        <f t="shared" si="3"/>
        <v>72</v>
      </c>
      <c r="AA15" s="137">
        <f t="shared" si="3"/>
        <v>75.600000000000009</v>
      </c>
      <c r="AB15" s="137">
        <f t="shared" si="3"/>
        <v>79.2</v>
      </c>
      <c r="AC15" s="137">
        <f t="shared" si="3"/>
        <v>82.800000000000011</v>
      </c>
      <c r="AD15" s="137">
        <f t="shared" si="3"/>
        <v>86.4</v>
      </c>
      <c r="AE15" s="137">
        <f t="shared" si="3"/>
        <v>90</v>
      </c>
      <c r="AF15" s="137">
        <f t="shared" si="3"/>
        <v>93.600000000000009</v>
      </c>
      <c r="AG15" s="137">
        <f t="shared" si="3"/>
        <v>97.2</v>
      </c>
      <c r="AH15" s="137">
        <f t="shared" si="3"/>
        <v>100.80000000000001</v>
      </c>
      <c r="AI15" s="137">
        <f t="shared" si="3"/>
        <v>104.4</v>
      </c>
      <c r="AJ15" s="137">
        <f t="shared" si="3"/>
        <v>108</v>
      </c>
      <c r="AK15" s="137">
        <f t="shared" si="3"/>
        <v>111.60000000000001</v>
      </c>
      <c r="AL15" s="137">
        <f t="shared" si="3"/>
        <v>115.2</v>
      </c>
      <c r="AM15" s="137">
        <f t="shared" si="3"/>
        <v>118.80000000000001</v>
      </c>
      <c r="AN15" s="137">
        <f t="shared" si="3"/>
        <v>122.4</v>
      </c>
      <c r="AO15" s="137">
        <f t="shared" si="3"/>
        <v>126</v>
      </c>
      <c r="AP15" s="137">
        <f t="shared" si="3"/>
        <v>129.6</v>
      </c>
      <c r="AQ15" s="137">
        <f t="shared" si="3"/>
        <v>133.20000000000002</v>
      </c>
      <c r="AR15" s="137">
        <f t="shared" si="3"/>
        <v>136.80000000000001</v>
      </c>
      <c r="AS15" s="137">
        <f t="shared" si="3"/>
        <v>140.4</v>
      </c>
      <c r="AT15" s="137">
        <f t="shared" si="3"/>
        <v>144</v>
      </c>
      <c r="AU15" s="137">
        <f t="shared" si="3"/>
        <v>147.6</v>
      </c>
      <c r="AV15" s="137">
        <f t="shared" si="3"/>
        <v>151.20000000000002</v>
      </c>
      <c r="AW15" s="137">
        <f t="shared" si="3"/>
        <v>154.80000000000001</v>
      </c>
      <c r="AX15" s="137">
        <f t="shared" si="3"/>
        <v>158.4</v>
      </c>
      <c r="AY15" s="137">
        <f t="shared" si="3"/>
        <v>162</v>
      </c>
      <c r="AZ15" s="82"/>
      <c r="BA15" s="82"/>
      <c r="BB15" s="82"/>
      <c r="BC15" s="82"/>
      <c r="BD15" s="82"/>
      <c r="BE15" s="162"/>
    </row>
    <row r="16" spans="1:57" outlineLevel="1" x14ac:dyDescent="0.2">
      <c r="A16" s="138"/>
      <c r="B16" s="139"/>
      <c r="C16" s="140"/>
      <c r="D16" s="140"/>
      <c r="E16" s="141"/>
      <c r="F16" s="142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4"/>
      <c r="AU16" s="143"/>
      <c r="AV16" s="143"/>
      <c r="AW16" s="144"/>
      <c r="AX16" s="143"/>
      <c r="AY16" s="143"/>
      <c r="AZ16" s="148"/>
      <c r="BA16" s="149"/>
      <c r="BB16" s="149"/>
      <c r="BC16" s="148"/>
      <c r="BD16" s="149"/>
      <c r="BE16" s="162"/>
    </row>
    <row r="17" spans="1:57" ht="16" outlineLevel="1" x14ac:dyDescent="0.2">
      <c r="A17" s="131" t="s">
        <v>5</v>
      </c>
      <c r="B17" s="132">
        <v>0.15</v>
      </c>
      <c r="C17" s="133">
        <v>24</v>
      </c>
      <c r="D17" s="133">
        <v>15</v>
      </c>
      <c r="E17" s="134"/>
      <c r="F17" s="128" t="s">
        <v>321</v>
      </c>
      <c r="G17" s="118">
        <f t="shared" ref="G17:G18" si="4">C17*1</f>
        <v>24</v>
      </c>
      <c r="H17" s="118">
        <f t="shared" ref="H17:H18" si="5">G17+24</f>
        <v>48</v>
      </c>
      <c r="I17" s="118">
        <f t="shared" ref="I17:I18" si="6">H17+24</f>
        <v>72</v>
      </c>
      <c r="J17" s="118">
        <f t="shared" ref="J17:J18" si="7">I17+24</f>
        <v>96</v>
      </c>
      <c r="K17" s="118">
        <f t="shared" ref="K17:K18" si="8">J17+24</f>
        <v>120</v>
      </c>
      <c r="L17" s="118">
        <f t="shared" ref="L17:L18" si="9">K17+24</f>
        <v>144</v>
      </c>
      <c r="M17" s="118">
        <f t="shared" ref="M17:M18" si="10">L17+24</f>
        <v>168</v>
      </c>
      <c r="N17" s="118">
        <f t="shared" ref="N17:N18" si="11">M17+24</f>
        <v>192</v>
      </c>
      <c r="O17" s="118">
        <f t="shared" ref="O17:O18" si="12">N17+24</f>
        <v>216</v>
      </c>
      <c r="P17" s="118">
        <f t="shared" ref="P17:P18" si="13">O17+24</f>
        <v>240</v>
      </c>
      <c r="Q17" s="118">
        <f t="shared" ref="Q17:Q18" si="14">P17+24</f>
        <v>264</v>
      </c>
      <c r="R17" s="118">
        <f t="shared" ref="R17:R18" si="15">Q17+24</f>
        <v>288</v>
      </c>
      <c r="S17" s="118">
        <f t="shared" ref="S17:S18" si="16">R17+24</f>
        <v>312</v>
      </c>
      <c r="T17" s="118">
        <f t="shared" ref="T17:T18" si="17">S17+24</f>
        <v>336</v>
      </c>
      <c r="U17" s="120">
        <f t="shared" ref="U17:U18" si="18">T17+24</f>
        <v>360</v>
      </c>
      <c r="V17" s="119">
        <f t="shared" ref="V17:V18" si="19">U17+24</f>
        <v>384</v>
      </c>
      <c r="W17" s="119">
        <f t="shared" ref="W17:W18" si="20">V17+24</f>
        <v>408</v>
      </c>
      <c r="X17" s="119">
        <f t="shared" ref="X17:X18" si="21">W17+24</f>
        <v>432</v>
      </c>
      <c r="Y17" s="119">
        <f t="shared" ref="Y17:Y18" si="22">X17+24</f>
        <v>456</v>
      </c>
      <c r="Z17" s="119">
        <f t="shared" ref="Z17:Z18" si="23">Y17+24</f>
        <v>480</v>
      </c>
      <c r="AA17" s="119">
        <f t="shared" ref="AA17:AA18" si="24">Z17+24</f>
        <v>504</v>
      </c>
      <c r="AB17" s="119">
        <f t="shared" ref="AB17:AB18" si="25">AA17+24</f>
        <v>528</v>
      </c>
      <c r="AC17" s="119">
        <f t="shared" ref="AC17:AC18" si="26">AB17+24</f>
        <v>552</v>
      </c>
      <c r="AD17" s="119">
        <f t="shared" ref="AD17:AD18" si="27">AC17+24</f>
        <v>576</v>
      </c>
      <c r="AE17" s="119">
        <f t="shared" ref="AE17:AE18" si="28">AD17+24</f>
        <v>600</v>
      </c>
      <c r="AF17" s="119">
        <f t="shared" ref="AF17:AF18" si="29">AE17+24</f>
        <v>624</v>
      </c>
      <c r="AG17" s="119">
        <f t="shared" ref="AG17:AG18" si="30">AF17+24</f>
        <v>648</v>
      </c>
      <c r="AH17" s="119">
        <f t="shared" ref="AH17:AH18" si="31">AG17+24</f>
        <v>672</v>
      </c>
      <c r="AI17" s="119">
        <f t="shared" ref="AI17:AI18" si="32">AH17+24</f>
        <v>696</v>
      </c>
      <c r="AJ17" s="121">
        <f t="shared" ref="AJ17:AJ18" si="33">AI17+24</f>
        <v>720</v>
      </c>
      <c r="AK17" s="118">
        <f t="shared" ref="AK17:AK18" si="34">AJ17+24</f>
        <v>744</v>
      </c>
      <c r="AL17" s="118">
        <f t="shared" ref="AL17:AL18" si="35">AK17+24</f>
        <v>768</v>
      </c>
      <c r="AM17" s="118">
        <f t="shared" ref="AM17:AM18" si="36">AL17+24</f>
        <v>792</v>
      </c>
      <c r="AN17" s="118">
        <f t="shared" ref="AN17:AN18" si="37">AM17+24</f>
        <v>816</v>
      </c>
      <c r="AO17" s="118">
        <f t="shared" ref="AO17:AO18" si="38">AN17+24</f>
        <v>840</v>
      </c>
      <c r="AP17" s="118">
        <f t="shared" ref="AP17:AP18" si="39">AO17+24</f>
        <v>864</v>
      </c>
      <c r="AQ17" s="118">
        <f t="shared" ref="AQ17:AQ18" si="40">AP17+24</f>
        <v>888</v>
      </c>
      <c r="AR17" s="118">
        <f t="shared" ref="AR17:AR18" si="41">AQ17+24</f>
        <v>912</v>
      </c>
      <c r="AS17" s="118">
        <f t="shared" ref="AS17:AS18" si="42">AR17+24</f>
        <v>936</v>
      </c>
      <c r="AT17" s="118">
        <f t="shared" ref="AT17:AT18" si="43">AS17+24</f>
        <v>960</v>
      </c>
      <c r="AU17" s="118">
        <f t="shared" ref="AU17:AU18" si="44">AT17+24</f>
        <v>984</v>
      </c>
      <c r="AV17" s="118">
        <f t="shared" ref="AV17:AV18" si="45">AU17+24</f>
        <v>1008</v>
      </c>
      <c r="AW17" s="118">
        <f t="shared" ref="AW17:AW18" si="46">AV17+24</f>
        <v>1032</v>
      </c>
      <c r="AX17" s="118">
        <f t="shared" ref="AX17:AX18" si="47">AW17+24</f>
        <v>1056</v>
      </c>
      <c r="AY17" s="120">
        <f t="shared" ref="AY17:AY18" si="48">AX17+24</f>
        <v>1080</v>
      </c>
      <c r="AZ17" s="4"/>
      <c r="BA17" s="4"/>
      <c r="BB17" s="4"/>
      <c r="BC17" s="4"/>
      <c r="BD17" s="4"/>
      <c r="BE17" s="162"/>
    </row>
    <row r="18" spans="1:57" ht="16" outlineLevel="1" x14ac:dyDescent="0.2">
      <c r="A18" s="131" t="s">
        <v>8</v>
      </c>
      <c r="B18" s="132">
        <v>0.15</v>
      </c>
      <c r="C18" s="133">
        <v>24</v>
      </c>
      <c r="D18" s="133">
        <v>15</v>
      </c>
      <c r="E18" s="134"/>
      <c r="F18" s="128" t="s">
        <v>321</v>
      </c>
      <c r="G18" s="118">
        <f t="shared" si="4"/>
        <v>24</v>
      </c>
      <c r="H18" s="118">
        <f t="shared" si="5"/>
        <v>48</v>
      </c>
      <c r="I18" s="118">
        <f t="shared" si="6"/>
        <v>72</v>
      </c>
      <c r="J18" s="118">
        <f t="shared" si="7"/>
        <v>96</v>
      </c>
      <c r="K18" s="118">
        <f t="shared" si="8"/>
        <v>120</v>
      </c>
      <c r="L18" s="118">
        <f t="shared" si="9"/>
        <v>144</v>
      </c>
      <c r="M18" s="118">
        <f t="shared" si="10"/>
        <v>168</v>
      </c>
      <c r="N18" s="118">
        <f t="shared" si="11"/>
        <v>192</v>
      </c>
      <c r="O18" s="118">
        <f t="shared" si="12"/>
        <v>216</v>
      </c>
      <c r="P18" s="118">
        <f t="shared" si="13"/>
        <v>240</v>
      </c>
      <c r="Q18" s="118">
        <f t="shared" si="14"/>
        <v>264</v>
      </c>
      <c r="R18" s="118">
        <f t="shared" si="15"/>
        <v>288</v>
      </c>
      <c r="S18" s="118">
        <f t="shared" si="16"/>
        <v>312</v>
      </c>
      <c r="T18" s="118">
        <f t="shared" si="17"/>
        <v>336</v>
      </c>
      <c r="U18" s="120">
        <f t="shared" si="18"/>
        <v>360</v>
      </c>
      <c r="V18" s="119">
        <f t="shared" si="19"/>
        <v>384</v>
      </c>
      <c r="W18" s="119">
        <f t="shared" si="20"/>
        <v>408</v>
      </c>
      <c r="X18" s="119">
        <f t="shared" si="21"/>
        <v>432</v>
      </c>
      <c r="Y18" s="119">
        <f t="shared" si="22"/>
        <v>456</v>
      </c>
      <c r="Z18" s="119">
        <f t="shared" si="23"/>
        <v>480</v>
      </c>
      <c r="AA18" s="119">
        <f t="shared" si="24"/>
        <v>504</v>
      </c>
      <c r="AB18" s="119">
        <f t="shared" si="25"/>
        <v>528</v>
      </c>
      <c r="AC18" s="119">
        <f t="shared" si="26"/>
        <v>552</v>
      </c>
      <c r="AD18" s="119">
        <f t="shared" si="27"/>
        <v>576</v>
      </c>
      <c r="AE18" s="119">
        <f t="shared" si="28"/>
        <v>600</v>
      </c>
      <c r="AF18" s="119">
        <f t="shared" si="29"/>
        <v>624</v>
      </c>
      <c r="AG18" s="119">
        <f t="shared" si="30"/>
        <v>648</v>
      </c>
      <c r="AH18" s="119">
        <f t="shared" si="31"/>
        <v>672</v>
      </c>
      <c r="AI18" s="119">
        <f t="shared" si="32"/>
        <v>696</v>
      </c>
      <c r="AJ18" s="121">
        <f t="shared" si="33"/>
        <v>720</v>
      </c>
      <c r="AK18" s="118">
        <f t="shared" si="34"/>
        <v>744</v>
      </c>
      <c r="AL18" s="118">
        <f t="shared" si="35"/>
        <v>768</v>
      </c>
      <c r="AM18" s="118">
        <f t="shared" si="36"/>
        <v>792</v>
      </c>
      <c r="AN18" s="118">
        <f t="shared" si="37"/>
        <v>816</v>
      </c>
      <c r="AO18" s="118">
        <f t="shared" si="38"/>
        <v>840</v>
      </c>
      <c r="AP18" s="118">
        <f t="shared" si="39"/>
        <v>864</v>
      </c>
      <c r="AQ18" s="118">
        <f t="shared" si="40"/>
        <v>888</v>
      </c>
      <c r="AR18" s="118">
        <f t="shared" si="41"/>
        <v>912</v>
      </c>
      <c r="AS18" s="118">
        <f t="shared" si="42"/>
        <v>936</v>
      </c>
      <c r="AT18" s="118">
        <f t="shared" si="43"/>
        <v>960</v>
      </c>
      <c r="AU18" s="118">
        <f t="shared" si="44"/>
        <v>984</v>
      </c>
      <c r="AV18" s="118">
        <f t="shared" si="45"/>
        <v>1008</v>
      </c>
      <c r="AW18" s="118">
        <f t="shared" si="46"/>
        <v>1032</v>
      </c>
      <c r="AX18" s="118">
        <f t="shared" si="47"/>
        <v>1056</v>
      </c>
      <c r="AY18" s="120">
        <f t="shared" si="48"/>
        <v>1080</v>
      </c>
      <c r="AZ18" s="4"/>
      <c r="BA18" s="4"/>
      <c r="BB18" s="4"/>
      <c r="BC18" s="4"/>
      <c r="BD18" s="4"/>
      <c r="BE18" s="162"/>
    </row>
    <row r="19" spans="1:57" outlineLevel="1" x14ac:dyDescent="0.2">
      <c r="A19" s="135"/>
      <c r="B19" s="136"/>
      <c r="C19" s="136"/>
      <c r="D19" s="136"/>
      <c r="E19" s="136"/>
      <c r="F19" s="135" t="s">
        <v>322</v>
      </c>
      <c r="G19" s="137">
        <f t="shared" ref="G19:AY19" si="49">G18*0.15</f>
        <v>3.5999999999999996</v>
      </c>
      <c r="H19" s="137">
        <f t="shared" si="49"/>
        <v>7.1999999999999993</v>
      </c>
      <c r="I19" s="137">
        <f t="shared" si="49"/>
        <v>10.799999999999999</v>
      </c>
      <c r="J19" s="137">
        <f t="shared" si="49"/>
        <v>14.399999999999999</v>
      </c>
      <c r="K19" s="137">
        <f t="shared" si="49"/>
        <v>18</v>
      </c>
      <c r="L19" s="137">
        <f t="shared" si="49"/>
        <v>21.599999999999998</v>
      </c>
      <c r="M19" s="137">
        <f t="shared" si="49"/>
        <v>25.2</v>
      </c>
      <c r="N19" s="137">
        <f t="shared" si="49"/>
        <v>28.799999999999997</v>
      </c>
      <c r="O19" s="137">
        <f t="shared" si="49"/>
        <v>32.4</v>
      </c>
      <c r="P19" s="137">
        <f t="shared" si="49"/>
        <v>36</v>
      </c>
      <c r="Q19" s="137">
        <f t="shared" si="49"/>
        <v>39.6</v>
      </c>
      <c r="R19" s="137">
        <f t="shared" si="49"/>
        <v>43.199999999999996</v>
      </c>
      <c r="S19" s="137">
        <f t="shared" si="49"/>
        <v>46.8</v>
      </c>
      <c r="T19" s="137">
        <f t="shared" si="49"/>
        <v>50.4</v>
      </c>
      <c r="U19" s="137">
        <f t="shared" si="49"/>
        <v>54</v>
      </c>
      <c r="V19" s="137">
        <f t="shared" si="49"/>
        <v>57.599999999999994</v>
      </c>
      <c r="W19" s="137">
        <f t="shared" si="49"/>
        <v>61.199999999999996</v>
      </c>
      <c r="X19" s="137">
        <f t="shared" si="49"/>
        <v>64.8</v>
      </c>
      <c r="Y19" s="137">
        <f t="shared" si="49"/>
        <v>68.399999999999991</v>
      </c>
      <c r="Z19" s="137">
        <f t="shared" si="49"/>
        <v>72</v>
      </c>
      <c r="AA19" s="137">
        <f t="shared" si="49"/>
        <v>75.599999999999994</v>
      </c>
      <c r="AB19" s="137">
        <f t="shared" si="49"/>
        <v>79.2</v>
      </c>
      <c r="AC19" s="137">
        <f t="shared" si="49"/>
        <v>82.8</v>
      </c>
      <c r="AD19" s="137">
        <f t="shared" si="49"/>
        <v>86.399999999999991</v>
      </c>
      <c r="AE19" s="137">
        <f t="shared" si="49"/>
        <v>90</v>
      </c>
      <c r="AF19" s="137">
        <f t="shared" si="49"/>
        <v>93.6</v>
      </c>
      <c r="AG19" s="137">
        <f t="shared" si="49"/>
        <v>97.2</v>
      </c>
      <c r="AH19" s="137">
        <f t="shared" si="49"/>
        <v>100.8</v>
      </c>
      <c r="AI19" s="137">
        <f t="shared" si="49"/>
        <v>104.39999999999999</v>
      </c>
      <c r="AJ19" s="137">
        <f t="shared" si="49"/>
        <v>108</v>
      </c>
      <c r="AK19" s="137">
        <f t="shared" si="49"/>
        <v>111.6</v>
      </c>
      <c r="AL19" s="137">
        <f t="shared" si="49"/>
        <v>115.19999999999999</v>
      </c>
      <c r="AM19" s="137">
        <f t="shared" si="49"/>
        <v>118.8</v>
      </c>
      <c r="AN19" s="137">
        <f t="shared" si="49"/>
        <v>122.39999999999999</v>
      </c>
      <c r="AO19" s="137">
        <f t="shared" si="49"/>
        <v>126</v>
      </c>
      <c r="AP19" s="137">
        <f t="shared" si="49"/>
        <v>129.6</v>
      </c>
      <c r="AQ19" s="137">
        <f t="shared" si="49"/>
        <v>133.19999999999999</v>
      </c>
      <c r="AR19" s="137">
        <f t="shared" si="49"/>
        <v>136.79999999999998</v>
      </c>
      <c r="AS19" s="137">
        <f t="shared" si="49"/>
        <v>140.4</v>
      </c>
      <c r="AT19" s="137">
        <f t="shared" si="49"/>
        <v>144</v>
      </c>
      <c r="AU19" s="137">
        <f t="shared" si="49"/>
        <v>147.6</v>
      </c>
      <c r="AV19" s="137">
        <f t="shared" si="49"/>
        <v>151.19999999999999</v>
      </c>
      <c r="AW19" s="137">
        <f t="shared" si="49"/>
        <v>154.79999999999998</v>
      </c>
      <c r="AX19" s="137">
        <f t="shared" si="49"/>
        <v>158.4</v>
      </c>
      <c r="AY19" s="137">
        <f t="shared" si="49"/>
        <v>162</v>
      </c>
      <c r="AZ19" s="82"/>
      <c r="BA19" s="82"/>
      <c r="BB19" s="82"/>
      <c r="BC19" s="82"/>
      <c r="BD19" s="82"/>
      <c r="BE19" s="162"/>
    </row>
    <row r="20" spans="1:57" outlineLevel="1" x14ac:dyDescent="0.2">
      <c r="A20" s="138"/>
      <c r="B20" s="139"/>
      <c r="C20" s="140"/>
      <c r="D20" s="140"/>
      <c r="E20" s="141"/>
      <c r="F20" s="142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4"/>
      <c r="AU20" s="143"/>
      <c r="AV20" s="143"/>
      <c r="AW20" s="144"/>
      <c r="AX20" s="143"/>
      <c r="AY20" s="143"/>
      <c r="AZ20" s="148"/>
      <c r="BA20" s="149"/>
      <c r="BB20" s="149"/>
      <c r="BC20" s="148"/>
      <c r="BD20" s="149"/>
      <c r="BE20" s="162"/>
    </row>
    <row r="21" spans="1:57" ht="16" outlineLevel="1" x14ac:dyDescent="0.2">
      <c r="A21" s="131" t="s">
        <v>4</v>
      </c>
      <c r="B21" s="132">
        <v>0.2</v>
      </c>
      <c r="C21" s="133">
        <v>24</v>
      </c>
      <c r="D21" s="133">
        <v>10</v>
      </c>
      <c r="E21" s="134"/>
      <c r="F21" s="128" t="s">
        <v>321</v>
      </c>
      <c r="G21" s="118">
        <f t="shared" ref="G21:G24" si="50">C21*1</f>
        <v>24</v>
      </c>
      <c r="H21" s="118">
        <f t="shared" ref="H21:BD21" si="51">G21+24</f>
        <v>48</v>
      </c>
      <c r="I21" s="118">
        <f t="shared" si="51"/>
        <v>72</v>
      </c>
      <c r="J21" s="118">
        <f t="shared" si="51"/>
        <v>96</v>
      </c>
      <c r="K21" s="118">
        <f t="shared" si="51"/>
        <v>120</v>
      </c>
      <c r="L21" s="118">
        <f t="shared" si="51"/>
        <v>144</v>
      </c>
      <c r="M21" s="118">
        <f t="shared" si="51"/>
        <v>168</v>
      </c>
      <c r="N21" s="118">
        <f t="shared" si="51"/>
        <v>192</v>
      </c>
      <c r="O21" s="118">
        <f t="shared" si="51"/>
        <v>216</v>
      </c>
      <c r="P21" s="120">
        <f t="shared" si="51"/>
        <v>240</v>
      </c>
      <c r="Q21" s="119">
        <f t="shared" si="51"/>
        <v>264</v>
      </c>
      <c r="R21" s="119">
        <f t="shared" si="51"/>
        <v>288</v>
      </c>
      <c r="S21" s="119">
        <f t="shared" si="51"/>
        <v>312</v>
      </c>
      <c r="T21" s="119">
        <f t="shared" si="51"/>
        <v>336</v>
      </c>
      <c r="U21" s="119">
        <f t="shared" si="51"/>
        <v>360</v>
      </c>
      <c r="V21" s="119">
        <f t="shared" si="51"/>
        <v>384</v>
      </c>
      <c r="W21" s="119">
        <f t="shared" si="51"/>
        <v>408</v>
      </c>
      <c r="X21" s="119">
        <f t="shared" si="51"/>
        <v>432</v>
      </c>
      <c r="Y21" s="119">
        <f t="shared" si="51"/>
        <v>456</v>
      </c>
      <c r="Z21" s="121">
        <f t="shared" si="51"/>
        <v>480</v>
      </c>
      <c r="AA21" s="118">
        <f t="shared" si="51"/>
        <v>504</v>
      </c>
      <c r="AB21" s="118">
        <f t="shared" si="51"/>
        <v>528</v>
      </c>
      <c r="AC21" s="118">
        <f t="shared" si="51"/>
        <v>552</v>
      </c>
      <c r="AD21" s="118">
        <f t="shared" si="51"/>
        <v>576</v>
      </c>
      <c r="AE21" s="118">
        <f t="shared" si="51"/>
        <v>600</v>
      </c>
      <c r="AF21" s="118">
        <f t="shared" si="51"/>
        <v>624</v>
      </c>
      <c r="AG21" s="118">
        <f t="shared" si="51"/>
        <v>648</v>
      </c>
      <c r="AH21" s="118">
        <f t="shared" si="51"/>
        <v>672</v>
      </c>
      <c r="AI21" s="118">
        <f t="shared" si="51"/>
        <v>696</v>
      </c>
      <c r="AJ21" s="120">
        <f t="shared" si="51"/>
        <v>720</v>
      </c>
      <c r="AK21" s="119">
        <f t="shared" si="51"/>
        <v>744</v>
      </c>
      <c r="AL21" s="119">
        <f t="shared" si="51"/>
        <v>768</v>
      </c>
      <c r="AM21" s="119">
        <f t="shared" si="51"/>
        <v>792</v>
      </c>
      <c r="AN21" s="119">
        <f t="shared" si="51"/>
        <v>816</v>
      </c>
      <c r="AO21" s="119">
        <f t="shared" si="51"/>
        <v>840</v>
      </c>
      <c r="AP21" s="119">
        <f t="shared" si="51"/>
        <v>864</v>
      </c>
      <c r="AQ21" s="119">
        <f t="shared" si="51"/>
        <v>888</v>
      </c>
      <c r="AR21" s="119">
        <f t="shared" si="51"/>
        <v>912</v>
      </c>
      <c r="AS21" s="119">
        <f t="shared" si="51"/>
        <v>936</v>
      </c>
      <c r="AT21" s="121">
        <f t="shared" si="51"/>
        <v>960</v>
      </c>
      <c r="AU21" s="118">
        <f t="shared" si="51"/>
        <v>984</v>
      </c>
      <c r="AV21" s="118">
        <f t="shared" si="51"/>
        <v>1008</v>
      </c>
      <c r="AW21" s="118">
        <f t="shared" si="51"/>
        <v>1032</v>
      </c>
      <c r="AX21" s="118">
        <f t="shared" si="51"/>
        <v>1056</v>
      </c>
      <c r="AY21" s="118">
        <f t="shared" si="51"/>
        <v>1080</v>
      </c>
      <c r="AZ21" s="118">
        <f t="shared" si="51"/>
        <v>1104</v>
      </c>
      <c r="BA21" s="118">
        <f t="shared" si="51"/>
        <v>1128</v>
      </c>
      <c r="BB21" s="118">
        <f t="shared" si="51"/>
        <v>1152</v>
      </c>
      <c r="BC21" s="118">
        <f t="shared" si="51"/>
        <v>1176</v>
      </c>
      <c r="BD21" s="120">
        <f t="shared" si="51"/>
        <v>1200</v>
      </c>
      <c r="BE21" s="162"/>
    </row>
    <row r="22" spans="1:57" ht="16" outlineLevel="1" x14ac:dyDescent="0.2">
      <c r="A22" s="131" t="s">
        <v>323</v>
      </c>
      <c r="B22" s="132">
        <v>0.2</v>
      </c>
      <c r="C22" s="133">
        <v>24</v>
      </c>
      <c r="D22" s="133">
        <v>10</v>
      </c>
      <c r="E22" s="134"/>
      <c r="F22" s="128" t="s">
        <v>321</v>
      </c>
      <c r="G22" s="118">
        <f t="shared" si="50"/>
        <v>24</v>
      </c>
      <c r="H22" s="118">
        <f t="shared" ref="H22:BD23" si="52">G22+24</f>
        <v>48</v>
      </c>
      <c r="I22" s="118">
        <f t="shared" si="52"/>
        <v>72</v>
      </c>
      <c r="J22" s="118">
        <f t="shared" si="52"/>
        <v>96</v>
      </c>
      <c r="K22" s="118">
        <f t="shared" si="52"/>
        <v>120</v>
      </c>
      <c r="L22" s="118">
        <f t="shared" si="52"/>
        <v>144</v>
      </c>
      <c r="M22" s="118">
        <f t="shared" si="52"/>
        <v>168</v>
      </c>
      <c r="N22" s="118">
        <f t="shared" si="52"/>
        <v>192</v>
      </c>
      <c r="O22" s="118">
        <f t="shared" si="52"/>
        <v>216</v>
      </c>
      <c r="P22" s="120">
        <f t="shared" si="52"/>
        <v>240</v>
      </c>
      <c r="Q22" s="119">
        <f t="shared" si="52"/>
        <v>264</v>
      </c>
      <c r="R22" s="119">
        <f t="shared" si="52"/>
        <v>288</v>
      </c>
      <c r="S22" s="119">
        <f t="shared" si="52"/>
        <v>312</v>
      </c>
      <c r="T22" s="119">
        <f t="shared" si="52"/>
        <v>336</v>
      </c>
      <c r="U22" s="119">
        <f t="shared" si="52"/>
        <v>360</v>
      </c>
      <c r="V22" s="119">
        <f t="shared" si="52"/>
        <v>384</v>
      </c>
      <c r="W22" s="119">
        <f t="shared" si="52"/>
        <v>408</v>
      </c>
      <c r="X22" s="119">
        <f t="shared" si="52"/>
        <v>432</v>
      </c>
      <c r="Y22" s="119">
        <f t="shared" si="52"/>
        <v>456</v>
      </c>
      <c r="Z22" s="121">
        <f t="shared" si="52"/>
        <v>480</v>
      </c>
      <c r="AA22" s="118">
        <f t="shared" si="52"/>
        <v>504</v>
      </c>
      <c r="AB22" s="118">
        <f t="shared" si="52"/>
        <v>528</v>
      </c>
      <c r="AC22" s="118">
        <f t="shared" si="52"/>
        <v>552</v>
      </c>
      <c r="AD22" s="118">
        <f t="shared" si="52"/>
        <v>576</v>
      </c>
      <c r="AE22" s="118">
        <f t="shared" si="52"/>
        <v>600</v>
      </c>
      <c r="AF22" s="118">
        <f t="shared" si="52"/>
        <v>624</v>
      </c>
      <c r="AG22" s="118">
        <f t="shared" si="52"/>
        <v>648</v>
      </c>
      <c r="AH22" s="118">
        <f t="shared" si="52"/>
        <v>672</v>
      </c>
      <c r="AI22" s="118">
        <f t="shared" si="52"/>
        <v>696</v>
      </c>
      <c r="AJ22" s="120">
        <f t="shared" si="52"/>
        <v>720</v>
      </c>
      <c r="AK22" s="119">
        <f t="shared" si="52"/>
        <v>744</v>
      </c>
      <c r="AL22" s="119">
        <f t="shared" si="52"/>
        <v>768</v>
      </c>
      <c r="AM22" s="119">
        <f t="shared" si="52"/>
        <v>792</v>
      </c>
      <c r="AN22" s="119">
        <f t="shared" si="52"/>
        <v>816</v>
      </c>
      <c r="AO22" s="119">
        <f t="shared" si="52"/>
        <v>840</v>
      </c>
      <c r="AP22" s="119">
        <f t="shared" si="52"/>
        <v>864</v>
      </c>
      <c r="AQ22" s="119">
        <f t="shared" si="52"/>
        <v>888</v>
      </c>
      <c r="AR22" s="119">
        <f t="shared" si="52"/>
        <v>912</v>
      </c>
      <c r="AS22" s="119">
        <f t="shared" si="52"/>
        <v>936</v>
      </c>
      <c r="AT22" s="121">
        <f t="shared" si="52"/>
        <v>960</v>
      </c>
      <c r="AU22" s="118">
        <f t="shared" si="52"/>
        <v>984</v>
      </c>
      <c r="AV22" s="118">
        <f t="shared" si="52"/>
        <v>1008</v>
      </c>
      <c r="AW22" s="118">
        <f t="shared" si="52"/>
        <v>1032</v>
      </c>
      <c r="AX22" s="118">
        <f t="shared" si="52"/>
        <v>1056</v>
      </c>
      <c r="AY22" s="118">
        <f t="shared" si="52"/>
        <v>1080</v>
      </c>
      <c r="AZ22" s="118">
        <f t="shared" si="52"/>
        <v>1104</v>
      </c>
      <c r="BA22" s="118">
        <f t="shared" si="52"/>
        <v>1128</v>
      </c>
      <c r="BB22" s="118">
        <f t="shared" si="52"/>
        <v>1152</v>
      </c>
      <c r="BC22" s="118">
        <f t="shared" si="52"/>
        <v>1176</v>
      </c>
      <c r="BD22" s="120">
        <f t="shared" si="52"/>
        <v>1200</v>
      </c>
      <c r="BE22" s="162"/>
    </row>
    <row r="23" spans="1:57" ht="16" outlineLevel="1" x14ac:dyDescent="0.2">
      <c r="A23" s="155" t="s">
        <v>329</v>
      </c>
      <c r="B23" s="132">
        <v>0.2</v>
      </c>
      <c r="C23" s="133">
        <v>24</v>
      </c>
      <c r="D23" s="133">
        <v>5</v>
      </c>
      <c r="E23" s="134"/>
      <c r="F23" s="128" t="s">
        <v>321</v>
      </c>
      <c r="G23" s="119">
        <f t="shared" ref="G23" si="53">C23*1</f>
        <v>24</v>
      </c>
      <c r="H23" s="119">
        <f t="shared" si="52"/>
        <v>48</v>
      </c>
      <c r="I23" s="119">
        <f t="shared" si="52"/>
        <v>72</v>
      </c>
      <c r="J23" s="119">
        <f t="shared" si="52"/>
        <v>96</v>
      </c>
      <c r="K23" s="121">
        <f t="shared" si="52"/>
        <v>120</v>
      </c>
      <c r="L23" s="118">
        <f t="shared" si="52"/>
        <v>144</v>
      </c>
      <c r="M23" s="118">
        <f t="shared" si="52"/>
        <v>168</v>
      </c>
      <c r="N23" s="118">
        <f t="shared" si="52"/>
        <v>192</v>
      </c>
      <c r="O23" s="118">
        <f t="shared" si="52"/>
        <v>216</v>
      </c>
      <c r="P23" s="120">
        <f t="shared" si="52"/>
        <v>240</v>
      </c>
      <c r="Q23" s="119">
        <f t="shared" si="52"/>
        <v>264</v>
      </c>
      <c r="R23" s="119">
        <f t="shared" si="52"/>
        <v>288</v>
      </c>
      <c r="S23" s="119">
        <f t="shared" si="52"/>
        <v>312</v>
      </c>
      <c r="T23" s="119">
        <f t="shared" si="52"/>
        <v>336</v>
      </c>
      <c r="U23" s="121">
        <f t="shared" si="52"/>
        <v>360</v>
      </c>
      <c r="V23" s="118">
        <f t="shared" si="52"/>
        <v>384</v>
      </c>
      <c r="W23" s="118">
        <f t="shared" si="52"/>
        <v>408</v>
      </c>
      <c r="X23" s="118">
        <f t="shared" si="52"/>
        <v>432</v>
      </c>
      <c r="Y23" s="118">
        <f t="shared" si="52"/>
        <v>456</v>
      </c>
      <c r="Z23" s="120">
        <f t="shared" si="52"/>
        <v>480</v>
      </c>
      <c r="AA23" s="119">
        <f t="shared" si="52"/>
        <v>504</v>
      </c>
      <c r="AB23" s="119">
        <f t="shared" si="52"/>
        <v>528</v>
      </c>
      <c r="AC23" s="119">
        <f t="shared" si="52"/>
        <v>552</v>
      </c>
      <c r="AD23" s="119">
        <f t="shared" si="52"/>
        <v>576</v>
      </c>
      <c r="AE23" s="121">
        <f t="shared" si="52"/>
        <v>600</v>
      </c>
      <c r="AF23" s="118">
        <f t="shared" si="52"/>
        <v>624</v>
      </c>
      <c r="AG23" s="118">
        <f t="shared" si="52"/>
        <v>648</v>
      </c>
      <c r="AH23" s="118">
        <f t="shared" si="52"/>
        <v>672</v>
      </c>
      <c r="AI23" s="118">
        <f t="shared" si="52"/>
        <v>696</v>
      </c>
      <c r="AJ23" s="120">
        <f t="shared" si="52"/>
        <v>720</v>
      </c>
      <c r="AK23" s="119">
        <f t="shared" si="52"/>
        <v>744</v>
      </c>
      <c r="AL23" s="119">
        <f t="shared" si="52"/>
        <v>768</v>
      </c>
      <c r="AM23" s="119">
        <f t="shared" si="52"/>
        <v>792</v>
      </c>
      <c r="AN23" s="119">
        <f t="shared" si="52"/>
        <v>816</v>
      </c>
      <c r="AO23" s="121">
        <f t="shared" si="52"/>
        <v>840</v>
      </c>
      <c r="AP23" s="118">
        <f t="shared" si="52"/>
        <v>864</v>
      </c>
      <c r="AQ23" s="118">
        <f t="shared" si="52"/>
        <v>888</v>
      </c>
      <c r="AR23" s="118">
        <f t="shared" si="52"/>
        <v>912</v>
      </c>
      <c r="AS23" s="118">
        <f t="shared" si="52"/>
        <v>936</v>
      </c>
      <c r="AT23" s="120">
        <f t="shared" si="52"/>
        <v>960</v>
      </c>
      <c r="AU23" s="119">
        <f t="shared" si="52"/>
        <v>984</v>
      </c>
      <c r="AV23" s="119">
        <f t="shared" si="52"/>
        <v>1008</v>
      </c>
      <c r="AW23" s="119">
        <f t="shared" si="52"/>
        <v>1032</v>
      </c>
      <c r="AX23" s="119">
        <f t="shared" si="52"/>
        <v>1056</v>
      </c>
      <c r="AY23" s="121">
        <f t="shared" si="52"/>
        <v>1080</v>
      </c>
      <c r="AZ23" s="118">
        <f t="shared" si="52"/>
        <v>1104</v>
      </c>
      <c r="BA23" s="118">
        <f t="shared" si="52"/>
        <v>1128</v>
      </c>
      <c r="BB23" s="118">
        <f t="shared" si="52"/>
        <v>1152</v>
      </c>
      <c r="BC23" s="118">
        <f t="shared" si="52"/>
        <v>1176</v>
      </c>
      <c r="BD23" s="120">
        <f t="shared" si="52"/>
        <v>1200</v>
      </c>
      <c r="BE23" s="162"/>
    </row>
    <row r="24" spans="1:57" ht="16" outlineLevel="1" x14ac:dyDescent="0.2">
      <c r="A24" s="131" t="s">
        <v>324</v>
      </c>
      <c r="B24" s="132">
        <v>0.2</v>
      </c>
      <c r="C24" s="133">
        <v>24</v>
      </c>
      <c r="D24" s="133">
        <v>5</v>
      </c>
      <c r="E24" s="134"/>
      <c r="F24" s="128" t="s">
        <v>321</v>
      </c>
      <c r="G24" s="119">
        <f t="shared" si="50"/>
        <v>24</v>
      </c>
      <c r="H24" s="119">
        <f t="shared" ref="H24:BD24" si="54">G24+24</f>
        <v>48</v>
      </c>
      <c r="I24" s="119">
        <f t="shared" si="54"/>
        <v>72</v>
      </c>
      <c r="J24" s="119">
        <f t="shared" si="54"/>
        <v>96</v>
      </c>
      <c r="K24" s="121">
        <f t="shared" si="54"/>
        <v>120</v>
      </c>
      <c r="L24" s="118">
        <f t="shared" si="54"/>
        <v>144</v>
      </c>
      <c r="M24" s="118">
        <f t="shared" si="54"/>
        <v>168</v>
      </c>
      <c r="N24" s="118">
        <f t="shared" si="54"/>
        <v>192</v>
      </c>
      <c r="O24" s="118">
        <f t="shared" si="54"/>
        <v>216</v>
      </c>
      <c r="P24" s="120">
        <f t="shared" si="54"/>
        <v>240</v>
      </c>
      <c r="Q24" s="119">
        <f t="shared" si="54"/>
        <v>264</v>
      </c>
      <c r="R24" s="119">
        <f t="shared" si="54"/>
        <v>288</v>
      </c>
      <c r="S24" s="119">
        <f t="shared" si="54"/>
        <v>312</v>
      </c>
      <c r="T24" s="119">
        <f t="shared" si="54"/>
        <v>336</v>
      </c>
      <c r="U24" s="121">
        <f t="shared" si="54"/>
        <v>360</v>
      </c>
      <c r="V24" s="118">
        <f t="shared" si="54"/>
        <v>384</v>
      </c>
      <c r="W24" s="118">
        <f t="shared" si="54"/>
        <v>408</v>
      </c>
      <c r="X24" s="118">
        <f t="shared" si="54"/>
        <v>432</v>
      </c>
      <c r="Y24" s="118">
        <f t="shared" si="54"/>
        <v>456</v>
      </c>
      <c r="Z24" s="120">
        <f t="shared" si="54"/>
        <v>480</v>
      </c>
      <c r="AA24" s="119">
        <f t="shared" si="54"/>
        <v>504</v>
      </c>
      <c r="AB24" s="119">
        <f t="shared" si="54"/>
        <v>528</v>
      </c>
      <c r="AC24" s="119">
        <f t="shared" si="54"/>
        <v>552</v>
      </c>
      <c r="AD24" s="119">
        <f t="shared" si="54"/>
        <v>576</v>
      </c>
      <c r="AE24" s="121">
        <f t="shared" si="54"/>
        <v>600</v>
      </c>
      <c r="AF24" s="118">
        <f t="shared" si="54"/>
        <v>624</v>
      </c>
      <c r="AG24" s="118">
        <f t="shared" si="54"/>
        <v>648</v>
      </c>
      <c r="AH24" s="118">
        <f t="shared" si="54"/>
        <v>672</v>
      </c>
      <c r="AI24" s="118">
        <f t="shared" si="54"/>
        <v>696</v>
      </c>
      <c r="AJ24" s="120">
        <f t="shared" si="54"/>
        <v>720</v>
      </c>
      <c r="AK24" s="119">
        <f t="shared" si="54"/>
        <v>744</v>
      </c>
      <c r="AL24" s="119">
        <f t="shared" si="54"/>
        <v>768</v>
      </c>
      <c r="AM24" s="119">
        <f t="shared" si="54"/>
        <v>792</v>
      </c>
      <c r="AN24" s="119">
        <f t="shared" si="54"/>
        <v>816</v>
      </c>
      <c r="AO24" s="121">
        <f t="shared" si="54"/>
        <v>840</v>
      </c>
      <c r="AP24" s="118">
        <f t="shared" si="54"/>
        <v>864</v>
      </c>
      <c r="AQ24" s="118">
        <f t="shared" si="54"/>
        <v>888</v>
      </c>
      <c r="AR24" s="118">
        <f t="shared" si="54"/>
        <v>912</v>
      </c>
      <c r="AS24" s="118">
        <f t="shared" si="54"/>
        <v>936</v>
      </c>
      <c r="AT24" s="120">
        <f t="shared" si="54"/>
        <v>960</v>
      </c>
      <c r="AU24" s="119">
        <f t="shared" si="54"/>
        <v>984</v>
      </c>
      <c r="AV24" s="119">
        <f t="shared" si="54"/>
        <v>1008</v>
      </c>
      <c r="AW24" s="119">
        <f t="shared" si="54"/>
        <v>1032</v>
      </c>
      <c r="AX24" s="119">
        <f t="shared" si="54"/>
        <v>1056</v>
      </c>
      <c r="AY24" s="121">
        <f t="shared" si="54"/>
        <v>1080</v>
      </c>
      <c r="AZ24" s="118">
        <f t="shared" si="54"/>
        <v>1104</v>
      </c>
      <c r="BA24" s="118">
        <f t="shared" si="54"/>
        <v>1128</v>
      </c>
      <c r="BB24" s="118">
        <f t="shared" si="54"/>
        <v>1152</v>
      </c>
      <c r="BC24" s="118">
        <f t="shared" si="54"/>
        <v>1176</v>
      </c>
      <c r="BD24" s="120">
        <f t="shared" si="54"/>
        <v>1200</v>
      </c>
      <c r="BE24" s="162"/>
    </row>
    <row r="25" spans="1:57" outlineLevel="1" x14ac:dyDescent="0.2">
      <c r="A25" s="135"/>
      <c r="B25" s="147"/>
      <c r="C25" s="136"/>
      <c r="D25" s="136"/>
      <c r="E25" s="136"/>
      <c r="F25" s="135" t="s">
        <v>322</v>
      </c>
      <c r="G25" s="137">
        <f t="shared" ref="G25:BD25" si="55">G22*0.2</f>
        <v>4.8000000000000007</v>
      </c>
      <c r="H25" s="137">
        <f t="shared" si="55"/>
        <v>9.6000000000000014</v>
      </c>
      <c r="I25" s="137">
        <f t="shared" si="55"/>
        <v>14.4</v>
      </c>
      <c r="J25" s="137">
        <f t="shared" si="55"/>
        <v>19.200000000000003</v>
      </c>
      <c r="K25" s="137">
        <f t="shared" si="55"/>
        <v>24</v>
      </c>
      <c r="L25" s="137">
        <f t="shared" si="55"/>
        <v>28.8</v>
      </c>
      <c r="M25" s="137">
        <f t="shared" si="55"/>
        <v>33.6</v>
      </c>
      <c r="N25" s="137">
        <f t="shared" si="55"/>
        <v>38.400000000000006</v>
      </c>
      <c r="O25" s="137">
        <f t="shared" si="55"/>
        <v>43.2</v>
      </c>
      <c r="P25" s="137">
        <f t="shared" si="55"/>
        <v>48</v>
      </c>
      <c r="Q25" s="137">
        <f t="shared" si="55"/>
        <v>52.800000000000004</v>
      </c>
      <c r="R25" s="137">
        <f t="shared" si="55"/>
        <v>57.6</v>
      </c>
      <c r="S25" s="137">
        <f t="shared" si="55"/>
        <v>62.400000000000006</v>
      </c>
      <c r="T25" s="137">
        <f t="shared" si="55"/>
        <v>67.2</v>
      </c>
      <c r="U25" s="137">
        <f t="shared" si="55"/>
        <v>72</v>
      </c>
      <c r="V25" s="137">
        <f t="shared" si="55"/>
        <v>76.800000000000011</v>
      </c>
      <c r="W25" s="137">
        <f t="shared" si="55"/>
        <v>81.600000000000009</v>
      </c>
      <c r="X25" s="137">
        <f t="shared" si="55"/>
        <v>86.4</v>
      </c>
      <c r="Y25" s="137">
        <f t="shared" si="55"/>
        <v>91.2</v>
      </c>
      <c r="Z25" s="137">
        <f t="shared" si="55"/>
        <v>96</v>
      </c>
      <c r="AA25" s="137">
        <f t="shared" si="55"/>
        <v>100.80000000000001</v>
      </c>
      <c r="AB25" s="137">
        <f t="shared" si="55"/>
        <v>105.60000000000001</v>
      </c>
      <c r="AC25" s="137">
        <f t="shared" si="55"/>
        <v>110.4</v>
      </c>
      <c r="AD25" s="137">
        <f t="shared" si="55"/>
        <v>115.2</v>
      </c>
      <c r="AE25" s="137">
        <f t="shared" si="55"/>
        <v>120</v>
      </c>
      <c r="AF25" s="137">
        <f t="shared" si="55"/>
        <v>124.80000000000001</v>
      </c>
      <c r="AG25" s="137">
        <f t="shared" si="55"/>
        <v>129.6</v>
      </c>
      <c r="AH25" s="137">
        <f t="shared" si="55"/>
        <v>134.4</v>
      </c>
      <c r="AI25" s="137">
        <f t="shared" si="55"/>
        <v>139.20000000000002</v>
      </c>
      <c r="AJ25" s="137">
        <f t="shared" si="55"/>
        <v>144</v>
      </c>
      <c r="AK25" s="137">
        <f t="shared" si="55"/>
        <v>148.80000000000001</v>
      </c>
      <c r="AL25" s="137">
        <f t="shared" si="55"/>
        <v>153.60000000000002</v>
      </c>
      <c r="AM25" s="137">
        <f t="shared" si="55"/>
        <v>158.4</v>
      </c>
      <c r="AN25" s="137">
        <f t="shared" si="55"/>
        <v>163.20000000000002</v>
      </c>
      <c r="AO25" s="137">
        <f t="shared" si="55"/>
        <v>168</v>
      </c>
      <c r="AP25" s="137">
        <f t="shared" si="55"/>
        <v>172.8</v>
      </c>
      <c r="AQ25" s="137">
        <f t="shared" si="55"/>
        <v>177.60000000000002</v>
      </c>
      <c r="AR25" s="137">
        <f t="shared" si="55"/>
        <v>182.4</v>
      </c>
      <c r="AS25" s="137">
        <f t="shared" si="55"/>
        <v>187.20000000000002</v>
      </c>
      <c r="AT25" s="137">
        <f t="shared" si="55"/>
        <v>192</v>
      </c>
      <c r="AU25" s="137">
        <f t="shared" si="55"/>
        <v>196.8</v>
      </c>
      <c r="AV25" s="137">
        <f t="shared" si="55"/>
        <v>201.60000000000002</v>
      </c>
      <c r="AW25" s="137">
        <f t="shared" si="55"/>
        <v>206.4</v>
      </c>
      <c r="AX25" s="137">
        <f t="shared" si="55"/>
        <v>211.20000000000002</v>
      </c>
      <c r="AY25" s="137">
        <f t="shared" si="55"/>
        <v>216</v>
      </c>
      <c r="AZ25" s="137">
        <f t="shared" si="55"/>
        <v>220.8</v>
      </c>
      <c r="BA25" s="137">
        <f t="shared" si="55"/>
        <v>225.60000000000002</v>
      </c>
      <c r="BB25" s="137">
        <f t="shared" si="55"/>
        <v>230.4</v>
      </c>
      <c r="BC25" s="137">
        <f t="shared" si="55"/>
        <v>235.20000000000002</v>
      </c>
      <c r="BD25" s="137">
        <f t="shared" si="55"/>
        <v>240</v>
      </c>
      <c r="BE25" s="162"/>
    </row>
    <row r="26" spans="1:57" outlineLevel="1" x14ac:dyDescent="0.2">
      <c r="A26" s="138"/>
      <c r="B26" s="139"/>
      <c r="C26" s="140"/>
      <c r="D26" s="140"/>
      <c r="E26" s="141"/>
      <c r="F26" s="142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4"/>
      <c r="AU26" s="143"/>
      <c r="AV26" s="143"/>
      <c r="AW26" s="144"/>
      <c r="AX26" s="143"/>
      <c r="AY26" s="143"/>
      <c r="AZ26" s="144"/>
      <c r="BA26" s="143"/>
      <c r="BB26" s="143"/>
      <c r="BC26" s="144"/>
      <c r="BD26" s="143"/>
      <c r="BE26" s="162"/>
    </row>
    <row r="27" spans="1:57" ht="16" outlineLevel="1" x14ac:dyDescent="0.2">
      <c r="A27" s="131" t="s">
        <v>7</v>
      </c>
      <c r="B27" s="132">
        <v>0.2</v>
      </c>
      <c r="C27" s="133">
        <v>30</v>
      </c>
      <c r="D27" s="133">
        <v>10</v>
      </c>
      <c r="E27" s="134"/>
      <c r="F27" s="128" t="s">
        <v>321</v>
      </c>
      <c r="G27" s="118">
        <f>C27*1</f>
        <v>30</v>
      </c>
      <c r="H27" s="118">
        <f t="shared" ref="H27:BD27" si="56">G27+30</f>
        <v>60</v>
      </c>
      <c r="I27" s="118">
        <f t="shared" si="56"/>
        <v>90</v>
      </c>
      <c r="J27" s="118">
        <f t="shared" si="56"/>
        <v>120</v>
      </c>
      <c r="K27" s="118">
        <f t="shared" si="56"/>
        <v>150</v>
      </c>
      <c r="L27" s="118">
        <f t="shared" si="56"/>
        <v>180</v>
      </c>
      <c r="M27" s="118">
        <f t="shared" si="56"/>
        <v>210</v>
      </c>
      <c r="N27" s="118">
        <f t="shared" si="56"/>
        <v>240</v>
      </c>
      <c r="O27" s="118">
        <f t="shared" si="56"/>
        <v>270</v>
      </c>
      <c r="P27" s="120">
        <f t="shared" si="56"/>
        <v>300</v>
      </c>
      <c r="Q27" s="119">
        <f t="shared" si="56"/>
        <v>330</v>
      </c>
      <c r="R27" s="119">
        <f t="shared" si="56"/>
        <v>360</v>
      </c>
      <c r="S27" s="119">
        <f t="shared" si="56"/>
        <v>390</v>
      </c>
      <c r="T27" s="119">
        <f t="shared" si="56"/>
        <v>420</v>
      </c>
      <c r="U27" s="119">
        <f t="shared" si="56"/>
        <v>450</v>
      </c>
      <c r="V27" s="119">
        <f t="shared" si="56"/>
        <v>480</v>
      </c>
      <c r="W27" s="119">
        <f t="shared" si="56"/>
        <v>510</v>
      </c>
      <c r="X27" s="119">
        <f t="shared" si="56"/>
        <v>540</v>
      </c>
      <c r="Y27" s="119">
        <f t="shared" si="56"/>
        <v>570</v>
      </c>
      <c r="Z27" s="121">
        <f t="shared" si="56"/>
        <v>600</v>
      </c>
      <c r="AA27" s="118">
        <f t="shared" si="56"/>
        <v>630</v>
      </c>
      <c r="AB27" s="118">
        <f t="shared" si="56"/>
        <v>660</v>
      </c>
      <c r="AC27" s="118">
        <f t="shared" si="56"/>
        <v>690</v>
      </c>
      <c r="AD27" s="118">
        <f t="shared" si="56"/>
        <v>720</v>
      </c>
      <c r="AE27" s="118">
        <f t="shared" si="56"/>
        <v>750</v>
      </c>
      <c r="AF27" s="118">
        <f t="shared" si="56"/>
        <v>780</v>
      </c>
      <c r="AG27" s="118">
        <f t="shared" si="56"/>
        <v>810</v>
      </c>
      <c r="AH27" s="118">
        <f t="shared" si="56"/>
        <v>840</v>
      </c>
      <c r="AI27" s="118">
        <f t="shared" si="56"/>
        <v>870</v>
      </c>
      <c r="AJ27" s="120">
        <f t="shared" si="56"/>
        <v>900</v>
      </c>
      <c r="AK27" s="119">
        <f t="shared" si="56"/>
        <v>930</v>
      </c>
      <c r="AL27" s="119">
        <f t="shared" si="56"/>
        <v>960</v>
      </c>
      <c r="AM27" s="119">
        <f t="shared" si="56"/>
        <v>990</v>
      </c>
      <c r="AN27" s="119">
        <f t="shared" si="56"/>
        <v>1020</v>
      </c>
      <c r="AO27" s="119">
        <f t="shared" si="56"/>
        <v>1050</v>
      </c>
      <c r="AP27" s="119">
        <f t="shared" si="56"/>
        <v>1080</v>
      </c>
      <c r="AQ27" s="119">
        <f t="shared" si="56"/>
        <v>1110</v>
      </c>
      <c r="AR27" s="119">
        <f t="shared" si="56"/>
        <v>1140</v>
      </c>
      <c r="AS27" s="119">
        <f t="shared" si="56"/>
        <v>1170</v>
      </c>
      <c r="AT27" s="121">
        <f t="shared" si="56"/>
        <v>1200</v>
      </c>
      <c r="AU27" s="118">
        <f t="shared" si="56"/>
        <v>1230</v>
      </c>
      <c r="AV27" s="118">
        <f t="shared" si="56"/>
        <v>1260</v>
      </c>
      <c r="AW27" s="118">
        <f t="shared" si="56"/>
        <v>1290</v>
      </c>
      <c r="AX27" s="118">
        <f t="shared" si="56"/>
        <v>1320</v>
      </c>
      <c r="AY27" s="118">
        <f t="shared" si="56"/>
        <v>1350</v>
      </c>
      <c r="AZ27" s="118">
        <f t="shared" si="56"/>
        <v>1380</v>
      </c>
      <c r="BA27" s="118">
        <f t="shared" si="56"/>
        <v>1410</v>
      </c>
      <c r="BB27" s="118">
        <f t="shared" si="56"/>
        <v>1440</v>
      </c>
      <c r="BC27" s="118">
        <f t="shared" si="56"/>
        <v>1470</v>
      </c>
      <c r="BD27" s="120">
        <f t="shared" si="56"/>
        <v>1500</v>
      </c>
      <c r="BE27" s="162"/>
    </row>
    <row r="28" spans="1:57" outlineLevel="1" x14ac:dyDescent="0.2">
      <c r="A28" s="135"/>
      <c r="B28" s="147"/>
      <c r="C28" s="136"/>
      <c r="D28" s="136"/>
      <c r="E28" s="136"/>
      <c r="F28" s="135" t="s">
        <v>322</v>
      </c>
      <c r="G28" s="137">
        <f t="shared" ref="G28:BD28" si="57">G27*0.2</f>
        <v>6</v>
      </c>
      <c r="H28" s="137">
        <f t="shared" si="57"/>
        <v>12</v>
      </c>
      <c r="I28" s="137">
        <f t="shared" si="57"/>
        <v>18</v>
      </c>
      <c r="J28" s="137">
        <f t="shared" si="57"/>
        <v>24</v>
      </c>
      <c r="K28" s="137">
        <f t="shared" si="57"/>
        <v>30</v>
      </c>
      <c r="L28" s="137">
        <f t="shared" si="57"/>
        <v>36</v>
      </c>
      <c r="M28" s="137">
        <f t="shared" si="57"/>
        <v>42</v>
      </c>
      <c r="N28" s="137">
        <f t="shared" si="57"/>
        <v>48</v>
      </c>
      <c r="O28" s="137">
        <f t="shared" si="57"/>
        <v>54</v>
      </c>
      <c r="P28" s="137">
        <f t="shared" si="57"/>
        <v>60</v>
      </c>
      <c r="Q28" s="137">
        <f t="shared" si="57"/>
        <v>66</v>
      </c>
      <c r="R28" s="137">
        <f t="shared" si="57"/>
        <v>72</v>
      </c>
      <c r="S28" s="137">
        <f t="shared" si="57"/>
        <v>78</v>
      </c>
      <c r="T28" s="137">
        <f t="shared" si="57"/>
        <v>84</v>
      </c>
      <c r="U28" s="137">
        <f t="shared" si="57"/>
        <v>90</v>
      </c>
      <c r="V28" s="137">
        <f t="shared" si="57"/>
        <v>96</v>
      </c>
      <c r="W28" s="137">
        <f t="shared" si="57"/>
        <v>102</v>
      </c>
      <c r="X28" s="137">
        <f t="shared" si="57"/>
        <v>108</v>
      </c>
      <c r="Y28" s="137">
        <f t="shared" si="57"/>
        <v>114</v>
      </c>
      <c r="Z28" s="137">
        <f t="shared" si="57"/>
        <v>120</v>
      </c>
      <c r="AA28" s="137">
        <f t="shared" si="57"/>
        <v>126</v>
      </c>
      <c r="AB28" s="137">
        <f t="shared" si="57"/>
        <v>132</v>
      </c>
      <c r="AC28" s="137">
        <f t="shared" si="57"/>
        <v>138</v>
      </c>
      <c r="AD28" s="137">
        <f t="shared" si="57"/>
        <v>144</v>
      </c>
      <c r="AE28" s="137">
        <f t="shared" si="57"/>
        <v>150</v>
      </c>
      <c r="AF28" s="137">
        <f t="shared" si="57"/>
        <v>156</v>
      </c>
      <c r="AG28" s="137">
        <f t="shared" si="57"/>
        <v>162</v>
      </c>
      <c r="AH28" s="137">
        <f t="shared" si="57"/>
        <v>168</v>
      </c>
      <c r="AI28" s="137">
        <f t="shared" si="57"/>
        <v>174</v>
      </c>
      <c r="AJ28" s="137">
        <f t="shared" si="57"/>
        <v>180</v>
      </c>
      <c r="AK28" s="137">
        <f t="shared" si="57"/>
        <v>186</v>
      </c>
      <c r="AL28" s="137">
        <f t="shared" si="57"/>
        <v>192</v>
      </c>
      <c r="AM28" s="137">
        <f t="shared" si="57"/>
        <v>198</v>
      </c>
      <c r="AN28" s="137">
        <f t="shared" si="57"/>
        <v>204</v>
      </c>
      <c r="AO28" s="137">
        <f t="shared" si="57"/>
        <v>210</v>
      </c>
      <c r="AP28" s="137">
        <f t="shared" si="57"/>
        <v>216</v>
      </c>
      <c r="AQ28" s="137">
        <f t="shared" si="57"/>
        <v>222</v>
      </c>
      <c r="AR28" s="137">
        <f t="shared" si="57"/>
        <v>228</v>
      </c>
      <c r="AS28" s="137">
        <f t="shared" si="57"/>
        <v>234</v>
      </c>
      <c r="AT28" s="137">
        <f t="shared" si="57"/>
        <v>240</v>
      </c>
      <c r="AU28" s="137">
        <f t="shared" si="57"/>
        <v>246</v>
      </c>
      <c r="AV28" s="137">
        <f t="shared" si="57"/>
        <v>252</v>
      </c>
      <c r="AW28" s="137">
        <f t="shared" si="57"/>
        <v>258</v>
      </c>
      <c r="AX28" s="137">
        <f t="shared" si="57"/>
        <v>264</v>
      </c>
      <c r="AY28" s="137">
        <f t="shared" si="57"/>
        <v>270</v>
      </c>
      <c r="AZ28" s="137">
        <f t="shared" si="57"/>
        <v>276</v>
      </c>
      <c r="BA28" s="137">
        <f t="shared" si="57"/>
        <v>282</v>
      </c>
      <c r="BB28" s="137">
        <f t="shared" si="57"/>
        <v>288</v>
      </c>
      <c r="BC28" s="137">
        <f t="shared" si="57"/>
        <v>294</v>
      </c>
      <c r="BD28" s="137">
        <f t="shared" si="57"/>
        <v>300</v>
      </c>
      <c r="BE28" s="162"/>
    </row>
    <row r="29" spans="1:57" outlineLevel="1" x14ac:dyDescent="0.2">
      <c r="A29" s="150"/>
      <c r="B29" s="151"/>
      <c r="C29" s="152"/>
      <c r="D29" s="152"/>
      <c r="E29" s="141"/>
      <c r="F29" s="153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62"/>
    </row>
    <row r="30" spans="1:57" ht="16" outlineLevel="1" x14ac:dyDescent="0.2">
      <c r="A30" s="131" t="s">
        <v>12</v>
      </c>
      <c r="B30" s="132">
        <v>0.2</v>
      </c>
      <c r="C30" s="133">
        <v>238</v>
      </c>
      <c r="D30" s="133">
        <v>2</v>
      </c>
      <c r="E30" s="134"/>
      <c r="F30" s="128" t="s">
        <v>321</v>
      </c>
      <c r="G30" s="118">
        <f>C30*1</f>
        <v>238</v>
      </c>
      <c r="H30" s="120">
        <f t="shared" ref="H30:V30" si="58">G30+238</f>
        <v>476</v>
      </c>
      <c r="I30" s="119">
        <f t="shared" si="58"/>
        <v>714</v>
      </c>
      <c r="J30" s="121">
        <f t="shared" si="58"/>
        <v>952</v>
      </c>
      <c r="K30" s="118">
        <f t="shared" si="58"/>
        <v>1190</v>
      </c>
      <c r="L30" s="120">
        <f t="shared" si="58"/>
        <v>1428</v>
      </c>
      <c r="M30" s="119">
        <f t="shared" si="58"/>
        <v>1666</v>
      </c>
      <c r="N30" s="121">
        <f t="shared" si="58"/>
        <v>1904</v>
      </c>
      <c r="O30" s="118">
        <f t="shared" si="58"/>
        <v>2142</v>
      </c>
      <c r="P30" s="120">
        <f t="shared" si="58"/>
        <v>2380</v>
      </c>
      <c r="Q30" s="119">
        <f t="shared" si="58"/>
        <v>2618</v>
      </c>
      <c r="R30" s="121">
        <f t="shared" si="58"/>
        <v>2856</v>
      </c>
      <c r="S30" s="118">
        <f t="shared" si="58"/>
        <v>3094</v>
      </c>
      <c r="T30" s="120">
        <f t="shared" si="58"/>
        <v>3332</v>
      </c>
      <c r="U30" s="119">
        <f t="shared" si="58"/>
        <v>3570</v>
      </c>
      <c r="V30" s="121">
        <f t="shared" si="58"/>
        <v>3808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162"/>
    </row>
    <row r="31" spans="1:57" outlineLevel="1" x14ac:dyDescent="0.2">
      <c r="A31" s="135"/>
      <c r="B31" s="147"/>
      <c r="C31" s="136"/>
      <c r="D31" s="136"/>
      <c r="E31" s="136"/>
      <c r="F31" s="135" t="s">
        <v>322</v>
      </c>
      <c r="G31" s="137">
        <f t="shared" ref="G31:V31" si="59">G30*0.2</f>
        <v>47.6</v>
      </c>
      <c r="H31" s="137">
        <f t="shared" si="59"/>
        <v>95.2</v>
      </c>
      <c r="I31" s="137">
        <f t="shared" si="59"/>
        <v>142.80000000000001</v>
      </c>
      <c r="J31" s="137">
        <f t="shared" si="59"/>
        <v>190.4</v>
      </c>
      <c r="K31" s="137">
        <f t="shared" si="59"/>
        <v>238</v>
      </c>
      <c r="L31" s="137">
        <f t="shared" si="59"/>
        <v>285.60000000000002</v>
      </c>
      <c r="M31" s="137">
        <f t="shared" si="59"/>
        <v>333.20000000000005</v>
      </c>
      <c r="N31" s="137">
        <f t="shared" si="59"/>
        <v>380.8</v>
      </c>
      <c r="O31" s="137">
        <f t="shared" si="59"/>
        <v>428.40000000000003</v>
      </c>
      <c r="P31" s="137">
        <f t="shared" si="59"/>
        <v>476</v>
      </c>
      <c r="Q31" s="137">
        <f t="shared" si="59"/>
        <v>523.6</v>
      </c>
      <c r="R31" s="137">
        <f t="shared" si="59"/>
        <v>571.20000000000005</v>
      </c>
      <c r="S31" s="137">
        <f t="shared" si="59"/>
        <v>618.80000000000007</v>
      </c>
      <c r="T31" s="137">
        <f t="shared" si="59"/>
        <v>666.40000000000009</v>
      </c>
      <c r="U31" s="137">
        <f t="shared" si="59"/>
        <v>714</v>
      </c>
      <c r="V31" s="137">
        <f t="shared" si="59"/>
        <v>761.6</v>
      </c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162"/>
    </row>
    <row r="32" spans="1:57" outlineLevel="1" x14ac:dyDescent="0.2">
      <c r="A32" s="150"/>
      <c r="B32" s="151"/>
      <c r="C32" s="152"/>
      <c r="D32" s="152"/>
      <c r="E32" s="141"/>
      <c r="F32" s="153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62"/>
    </row>
    <row r="33" spans="1:8" x14ac:dyDescent="0.2">
      <c r="A33" s="155"/>
      <c r="B33" s="160"/>
      <c r="C33" s="160"/>
      <c r="D33" s="160"/>
      <c r="E33" s="158"/>
      <c r="F33" s="159"/>
    </row>
    <row r="34" spans="1:8" x14ac:dyDescent="0.2">
      <c r="A34" s="155"/>
      <c r="B34" s="160"/>
      <c r="C34" s="160"/>
      <c r="D34" s="160"/>
      <c r="E34" s="158"/>
      <c r="F34" s="159"/>
    </row>
    <row r="35" spans="1:8" x14ac:dyDescent="0.2">
      <c r="A35" s="155"/>
      <c r="B35" s="160"/>
      <c r="C35" s="160"/>
      <c r="D35" s="160"/>
      <c r="E35" s="158"/>
      <c r="F35" s="159"/>
    </row>
    <row r="36" spans="1:8" x14ac:dyDescent="0.2">
      <c r="A36" s="155"/>
      <c r="B36" s="156"/>
      <c r="C36" s="157"/>
      <c r="D36" s="157"/>
      <c r="E36" s="158"/>
      <c r="F36" s="159"/>
    </row>
    <row r="37" spans="1:8" x14ac:dyDescent="0.2">
      <c r="A37" s="155"/>
      <c r="B37" s="156"/>
      <c r="C37" s="157"/>
      <c r="D37" s="157"/>
      <c r="E37" s="158"/>
      <c r="F37" s="159"/>
    </row>
    <row r="38" spans="1:8" x14ac:dyDescent="0.2">
      <c r="A38" s="155"/>
      <c r="B38" s="156"/>
      <c r="C38" s="157"/>
      <c r="D38" s="157"/>
      <c r="E38" s="158"/>
      <c r="F38" s="159"/>
    </row>
    <row r="39" spans="1:8" x14ac:dyDescent="0.2">
      <c r="A39" s="155"/>
      <c r="B39" s="156"/>
      <c r="C39" s="157"/>
      <c r="D39" s="157"/>
      <c r="E39" s="157"/>
      <c r="F39" s="157"/>
      <c r="G39" s="157"/>
      <c r="H39" s="157"/>
    </row>
    <row r="40" spans="1:8" x14ac:dyDescent="0.2">
      <c r="A40" s="155"/>
      <c r="B40" s="156"/>
      <c r="C40" s="157"/>
      <c r="D40" s="157"/>
      <c r="E40" s="157"/>
      <c r="F40" s="157"/>
      <c r="G40" s="157"/>
      <c r="H40" s="157"/>
    </row>
    <row r="41" spans="1:8" x14ac:dyDescent="0.2">
      <c r="A41" s="155"/>
      <c r="B41" s="156"/>
      <c r="C41" s="157"/>
      <c r="D41" s="157"/>
      <c r="E41" s="157"/>
      <c r="F41" s="157"/>
      <c r="G41" s="157"/>
      <c r="H41" s="157"/>
    </row>
    <row r="42" spans="1:8" x14ac:dyDescent="0.2">
      <c r="A42" s="155"/>
      <c r="B42" s="156"/>
      <c r="C42" s="157"/>
      <c r="D42" s="157"/>
      <c r="E42" s="157"/>
      <c r="F42" s="157"/>
      <c r="G42" s="157"/>
      <c r="H42" s="157"/>
    </row>
    <row r="43" spans="1:8" x14ac:dyDescent="0.2">
      <c r="A43" s="155"/>
      <c r="B43" s="156"/>
      <c r="C43" s="157"/>
      <c r="D43" s="157"/>
      <c r="E43" s="157"/>
      <c r="F43" s="157"/>
      <c r="G43" s="157"/>
      <c r="H43" s="157"/>
    </row>
    <row r="44" spans="1:8" x14ac:dyDescent="0.2">
      <c r="A44" s="155"/>
      <c r="B44" s="156"/>
      <c r="C44" s="157"/>
      <c r="D44" s="157"/>
      <c r="E44" s="157"/>
      <c r="F44" s="157"/>
      <c r="G44" s="157"/>
      <c r="H44" s="157"/>
    </row>
    <row r="45" spans="1:8" x14ac:dyDescent="0.2">
      <c r="A45" s="155"/>
      <c r="B45" s="156"/>
      <c r="C45" s="157"/>
      <c r="D45" s="157"/>
      <c r="E45" s="157"/>
      <c r="F45" s="157"/>
      <c r="G45" s="157"/>
      <c r="H45" s="157"/>
    </row>
    <row r="46" spans="1:8" x14ac:dyDescent="0.2">
      <c r="A46" s="155"/>
      <c r="B46" s="156"/>
      <c r="C46" s="157"/>
      <c r="D46" s="157"/>
      <c r="E46" s="157"/>
      <c r="F46" s="157"/>
      <c r="G46" s="157"/>
      <c r="H46" s="157"/>
    </row>
    <row r="47" spans="1:8" x14ac:dyDescent="0.2">
      <c r="A47" s="155"/>
      <c r="B47" s="156"/>
      <c r="C47" s="157"/>
      <c r="D47" s="157"/>
      <c r="E47" s="157"/>
      <c r="F47" s="157"/>
      <c r="G47" s="157"/>
      <c r="H47" s="157"/>
    </row>
    <row r="48" spans="1:8" x14ac:dyDescent="0.2">
      <c r="A48" s="155"/>
      <c r="B48" s="156"/>
      <c r="C48" s="157"/>
      <c r="D48" s="157"/>
      <c r="E48" s="157"/>
      <c r="F48" s="157"/>
      <c r="G48" s="157"/>
      <c r="H48" s="157"/>
    </row>
    <row r="49" spans="1:8" x14ac:dyDescent="0.2">
      <c r="A49" s="155"/>
      <c r="B49" s="156"/>
      <c r="C49" s="157"/>
      <c r="D49" s="157"/>
      <c r="E49" s="157"/>
      <c r="F49" s="157"/>
      <c r="G49" s="157"/>
      <c r="H49" s="157"/>
    </row>
    <row r="50" spans="1:8" x14ac:dyDescent="0.2">
      <c r="A50" s="155"/>
      <c r="B50" s="156"/>
      <c r="C50" s="157"/>
      <c r="D50" s="157"/>
      <c r="E50" s="157"/>
      <c r="F50" s="157"/>
      <c r="G50" s="157"/>
      <c r="H50" s="157"/>
    </row>
    <row r="51" spans="1:8" x14ac:dyDescent="0.2">
      <c r="A51" s="155"/>
      <c r="B51" s="156"/>
      <c r="C51" s="157"/>
      <c r="D51" s="157"/>
      <c r="E51" s="157"/>
      <c r="F51" s="157"/>
      <c r="G51" s="157"/>
      <c r="H51" s="157"/>
    </row>
    <row r="52" spans="1:8" x14ac:dyDescent="0.2">
      <c r="A52" s="155"/>
      <c r="B52" s="156"/>
      <c r="C52" s="157"/>
      <c r="D52" s="157"/>
      <c r="E52" s="157"/>
      <c r="F52" s="157"/>
      <c r="G52" s="157"/>
      <c r="H52" s="157"/>
    </row>
    <row r="53" spans="1:8" x14ac:dyDescent="0.2">
      <c r="A53" s="155"/>
      <c r="B53" s="156"/>
      <c r="C53" s="157"/>
      <c r="D53" s="157"/>
      <c r="E53" s="157"/>
      <c r="F53" s="157"/>
      <c r="G53" s="157"/>
      <c r="H53" s="157"/>
    </row>
    <row r="54" spans="1:8" x14ac:dyDescent="0.2">
      <c r="A54" s="155"/>
      <c r="B54" s="156"/>
      <c r="C54" s="157"/>
      <c r="D54" s="157"/>
      <c r="E54" s="157"/>
      <c r="F54" s="157"/>
      <c r="G54" s="157"/>
      <c r="H54" s="157"/>
    </row>
    <row r="55" spans="1:8" x14ac:dyDescent="0.2">
      <c r="A55" s="155"/>
      <c r="B55" s="156"/>
      <c r="C55" s="157"/>
      <c r="D55" s="157"/>
      <c r="E55" s="157"/>
      <c r="F55" s="157"/>
      <c r="G55" s="157"/>
      <c r="H55" s="157"/>
    </row>
    <row r="56" spans="1:8" x14ac:dyDescent="0.2">
      <c r="A56" s="155"/>
      <c r="B56" s="156"/>
      <c r="C56" s="157"/>
      <c r="D56" s="157"/>
      <c r="E56" s="157"/>
      <c r="F56" s="157"/>
      <c r="G56" s="157"/>
      <c r="H56" s="157"/>
    </row>
    <row r="57" spans="1:8" x14ac:dyDescent="0.2">
      <c r="A57" s="155"/>
      <c r="B57" s="156"/>
      <c r="C57" s="157"/>
      <c r="D57" s="157"/>
      <c r="E57" s="157"/>
      <c r="F57" s="157"/>
      <c r="G57" s="157"/>
      <c r="H57" s="157"/>
    </row>
    <row r="58" spans="1:8" x14ac:dyDescent="0.2">
      <c r="A58" s="155"/>
      <c r="B58" s="156"/>
      <c r="C58" s="157"/>
      <c r="D58" s="157"/>
      <c r="E58" s="157"/>
      <c r="F58" s="157"/>
      <c r="G58" s="157"/>
      <c r="H58" s="157"/>
    </row>
    <row r="59" spans="1:8" x14ac:dyDescent="0.2">
      <c r="A59" s="155"/>
      <c r="B59" s="156"/>
      <c r="C59" s="157"/>
      <c r="D59" s="157"/>
      <c r="E59" s="157"/>
      <c r="F59" s="157"/>
      <c r="G59" s="157"/>
      <c r="H59" s="157"/>
    </row>
    <row r="60" spans="1:8" x14ac:dyDescent="0.2">
      <c r="A60" s="155"/>
      <c r="B60" s="156"/>
      <c r="C60" s="157"/>
      <c r="D60" s="157"/>
      <c r="E60" s="157"/>
      <c r="F60" s="157"/>
      <c r="G60" s="157"/>
      <c r="H60" s="157"/>
    </row>
    <row r="61" spans="1:8" x14ac:dyDescent="0.2">
      <c r="A61" s="155"/>
      <c r="B61" s="156"/>
      <c r="C61" s="157"/>
      <c r="D61" s="157"/>
      <c r="E61" s="157"/>
      <c r="F61" s="157"/>
      <c r="G61" s="157"/>
      <c r="H61" s="157"/>
    </row>
    <row r="62" spans="1:8" x14ac:dyDescent="0.2">
      <c r="A62" s="155"/>
      <c r="B62" s="156"/>
      <c r="C62" s="157"/>
      <c r="D62" s="157"/>
      <c r="E62" s="157"/>
      <c r="F62" s="157"/>
      <c r="G62" s="157"/>
      <c r="H62" s="157"/>
    </row>
    <row r="63" spans="1:8" x14ac:dyDescent="0.2">
      <c r="A63" s="155"/>
      <c r="B63" s="156"/>
      <c r="C63" s="157"/>
      <c r="D63" s="157"/>
      <c r="E63" s="158"/>
      <c r="F63" s="159"/>
    </row>
    <row r="64" spans="1:8" x14ac:dyDescent="0.2">
      <c r="A64" s="155"/>
      <c r="B64" s="156"/>
      <c r="C64" s="157"/>
      <c r="D64" s="157"/>
      <c r="E64" s="158"/>
      <c r="F64" s="159"/>
    </row>
    <row r="65" spans="1:6" x14ac:dyDescent="0.2">
      <c r="A65" s="155"/>
      <c r="B65" s="156"/>
      <c r="C65" s="157"/>
      <c r="D65" s="157"/>
      <c r="E65" s="158"/>
      <c r="F65" s="159"/>
    </row>
    <row r="66" spans="1:6" x14ac:dyDescent="0.2">
      <c r="A66" s="155"/>
      <c r="B66" s="156"/>
      <c r="C66" s="157"/>
      <c r="D66" s="157"/>
      <c r="E66" s="158"/>
      <c r="F66" s="159"/>
    </row>
    <row r="67" spans="1:6" x14ac:dyDescent="0.2">
      <c r="A67" s="155"/>
      <c r="B67" s="156"/>
      <c r="C67" s="157"/>
      <c r="D67" s="157"/>
      <c r="E67" s="158"/>
      <c r="F67" s="159"/>
    </row>
    <row r="68" spans="1:6" x14ac:dyDescent="0.2">
      <c r="A68" s="155"/>
      <c r="B68" s="156"/>
      <c r="C68" s="157"/>
      <c r="D68" s="157"/>
      <c r="E68" s="158"/>
      <c r="F68" s="159"/>
    </row>
    <row r="69" spans="1:6" x14ac:dyDescent="0.2">
      <c r="A69" s="155"/>
      <c r="B69" s="156"/>
      <c r="C69" s="157"/>
      <c r="D69" s="157"/>
      <c r="E69" s="158"/>
      <c r="F69" s="159"/>
    </row>
    <row r="70" spans="1:6" x14ac:dyDescent="0.2">
      <c r="A70" s="155"/>
      <c r="B70" s="156"/>
      <c r="C70" s="157"/>
      <c r="D70" s="157"/>
      <c r="E70" s="158"/>
      <c r="F70" s="159"/>
    </row>
    <row r="71" spans="1:6" x14ac:dyDescent="0.2">
      <c r="A71" s="155"/>
      <c r="B71" s="156"/>
      <c r="C71" s="157"/>
      <c r="D71" s="157"/>
      <c r="E71" s="158"/>
      <c r="F71" s="159"/>
    </row>
    <row r="72" spans="1:6" x14ac:dyDescent="0.2">
      <c r="A72" s="155"/>
      <c r="B72" s="156"/>
      <c r="C72" s="157"/>
      <c r="D72" s="157"/>
      <c r="E72" s="158"/>
      <c r="F72" s="159"/>
    </row>
    <row r="73" spans="1:6" x14ac:dyDescent="0.2">
      <c r="A73" s="155"/>
      <c r="B73" s="156"/>
      <c r="C73" s="157"/>
      <c r="D73" s="157"/>
      <c r="E73" s="158"/>
      <c r="F73" s="159"/>
    </row>
    <row r="74" spans="1:6" x14ac:dyDescent="0.2">
      <c r="A74" s="155"/>
      <c r="B74" s="156"/>
      <c r="C74" s="157"/>
      <c r="D74" s="157"/>
      <c r="E74" s="158"/>
      <c r="F74" s="159"/>
    </row>
    <row r="75" spans="1:6" x14ac:dyDescent="0.2">
      <c r="A75" s="155"/>
      <c r="B75" s="156"/>
      <c r="C75" s="157"/>
      <c r="D75" s="157"/>
      <c r="E75" s="158"/>
      <c r="F75" s="159"/>
    </row>
    <row r="76" spans="1:6" x14ac:dyDescent="0.2">
      <c r="A76" s="155"/>
      <c r="B76" s="156"/>
      <c r="C76" s="157"/>
      <c r="D76" s="157"/>
      <c r="E76" s="158"/>
      <c r="F76" s="159"/>
    </row>
    <row r="77" spans="1:6" x14ac:dyDescent="0.2">
      <c r="A77" s="155"/>
      <c r="B77" s="156"/>
      <c r="C77" s="157"/>
      <c r="D77" s="157"/>
      <c r="E77" s="158"/>
      <c r="F77" s="159"/>
    </row>
    <row r="78" spans="1:6" x14ac:dyDescent="0.2">
      <c r="A78" s="155"/>
      <c r="B78" s="156"/>
      <c r="C78" s="157"/>
      <c r="D78" s="157"/>
      <c r="E78" s="158"/>
      <c r="F78" s="159"/>
    </row>
    <row r="79" spans="1:6" x14ac:dyDescent="0.2">
      <c r="A79" s="155"/>
      <c r="B79" s="156"/>
      <c r="C79" s="157"/>
      <c r="D79" s="157"/>
      <c r="E79" s="158"/>
      <c r="F79" s="159"/>
    </row>
    <row r="80" spans="1:6" x14ac:dyDescent="0.2">
      <c r="A80" s="155"/>
      <c r="B80" s="156"/>
      <c r="C80" s="157"/>
      <c r="D80" s="157"/>
      <c r="E80" s="158"/>
      <c r="F80" s="159"/>
    </row>
    <row r="81" spans="1:6" x14ac:dyDescent="0.2">
      <c r="A81" s="155"/>
      <c r="B81" s="156"/>
      <c r="C81" s="157"/>
      <c r="D81" s="157"/>
      <c r="E81" s="158"/>
      <c r="F81" s="159"/>
    </row>
    <row r="82" spans="1:6" x14ac:dyDescent="0.2">
      <c r="A82" s="155"/>
      <c r="B82" s="156"/>
      <c r="C82" s="157"/>
      <c r="D82" s="157"/>
      <c r="E82" s="158"/>
      <c r="F82" s="159"/>
    </row>
    <row r="83" spans="1:6" x14ac:dyDescent="0.2">
      <c r="A83" s="155"/>
      <c r="B83" s="156"/>
      <c r="C83" s="157"/>
      <c r="D83" s="157"/>
      <c r="E83" s="158"/>
      <c r="F83" s="159"/>
    </row>
    <row r="84" spans="1:6" x14ac:dyDescent="0.2">
      <c r="A84" s="155"/>
      <c r="B84" s="156"/>
      <c r="C84" s="157"/>
      <c r="D84" s="157"/>
      <c r="E84" s="158"/>
      <c r="F84" s="159"/>
    </row>
    <row r="85" spans="1:6" x14ac:dyDescent="0.2">
      <c r="A85" s="155"/>
      <c r="B85" s="156"/>
      <c r="C85" s="157"/>
      <c r="D85" s="157"/>
      <c r="E85" s="158"/>
      <c r="F85" s="159"/>
    </row>
    <row r="86" spans="1:6" x14ac:dyDescent="0.2">
      <c r="A86" s="155"/>
      <c r="B86" s="156"/>
      <c r="C86" s="157"/>
      <c r="D86" s="157"/>
      <c r="E86" s="158"/>
      <c r="F86" s="159"/>
    </row>
    <row r="87" spans="1:6" x14ac:dyDescent="0.2">
      <c r="A87" s="155"/>
      <c r="B87" s="156"/>
      <c r="C87" s="157"/>
      <c r="D87" s="157"/>
      <c r="E87" s="158"/>
      <c r="F87" s="159"/>
    </row>
    <row r="88" spans="1:6" x14ac:dyDescent="0.2">
      <c r="A88" s="155"/>
      <c r="B88" s="156"/>
      <c r="C88" s="157"/>
      <c r="D88" s="157"/>
      <c r="E88" s="158"/>
      <c r="F88" s="159"/>
    </row>
    <row r="89" spans="1:6" x14ac:dyDescent="0.2">
      <c r="A89" s="155"/>
      <c r="B89" s="156"/>
      <c r="C89" s="157"/>
      <c r="D89" s="157"/>
      <c r="E89" s="158"/>
      <c r="F89" s="159"/>
    </row>
    <row r="90" spans="1:6" x14ac:dyDescent="0.2">
      <c r="A90" s="155"/>
      <c r="B90" s="156"/>
      <c r="C90" s="157"/>
      <c r="D90" s="157"/>
      <c r="E90" s="158"/>
      <c r="F90" s="159"/>
    </row>
    <row r="91" spans="1:6" x14ac:dyDescent="0.2">
      <c r="A91" s="155"/>
      <c r="B91" s="156"/>
      <c r="C91" s="157"/>
      <c r="D91" s="157"/>
      <c r="E91" s="158"/>
      <c r="F91" s="159"/>
    </row>
    <row r="92" spans="1:6" x14ac:dyDescent="0.2">
      <c r="A92" s="155"/>
      <c r="B92" s="156"/>
      <c r="C92" s="157"/>
      <c r="D92" s="157"/>
      <c r="E92" s="158"/>
      <c r="F92" s="159"/>
    </row>
    <row r="93" spans="1:6" x14ac:dyDescent="0.2">
      <c r="A93" s="155"/>
      <c r="B93" s="156"/>
      <c r="C93" s="157"/>
      <c r="D93" s="157"/>
      <c r="E93" s="158"/>
      <c r="F93" s="159"/>
    </row>
    <row r="94" spans="1:6" x14ac:dyDescent="0.2">
      <c r="A94" s="155"/>
      <c r="B94" s="156"/>
      <c r="C94" s="157"/>
      <c r="D94" s="157"/>
      <c r="E94" s="158"/>
      <c r="F94" s="159"/>
    </row>
    <row r="95" spans="1:6" x14ac:dyDescent="0.2">
      <c r="A95" s="155"/>
      <c r="B95" s="156"/>
      <c r="C95" s="157"/>
      <c r="D95" s="157"/>
      <c r="E95" s="158"/>
      <c r="F95" s="159"/>
    </row>
    <row r="96" spans="1:6" x14ac:dyDescent="0.2">
      <c r="A96" s="155"/>
      <c r="B96" s="156"/>
      <c r="C96" s="157"/>
      <c r="D96" s="157"/>
      <c r="E96" s="158"/>
      <c r="F96" s="159"/>
    </row>
    <row r="97" spans="1:6" x14ac:dyDescent="0.2">
      <c r="A97" s="155"/>
      <c r="B97" s="156"/>
      <c r="C97" s="157"/>
      <c r="D97" s="157"/>
      <c r="E97" s="158"/>
      <c r="F97" s="159"/>
    </row>
    <row r="98" spans="1:6" x14ac:dyDescent="0.2">
      <c r="A98" s="155"/>
      <c r="B98" s="156"/>
      <c r="C98" s="157"/>
      <c r="D98" s="157"/>
      <c r="E98" s="158"/>
      <c r="F98" s="159"/>
    </row>
    <row r="99" spans="1:6" x14ac:dyDescent="0.2">
      <c r="A99" s="155"/>
      <c r="B99" s="156"/>
      <c r="C99" s="157"/>
      <c r="D99" s="157"/>
      <c r="E99" s="158"/>
      <c r="F99" s="159"/>
    </row>
    <row r="100" spans="1:6" x14ac:dyDescent="0.2">
      <c r="A100" s="155"/>
      <c r="B100" s="156"/>
      <c r="C100" s="157"/>
      <c r="D100" s="157"/>
      <c r="E100" s="158"/>
      <c r="F100" s="159"/>
    </row>
    <row r="101" spans="1:6" x14ac:dyDescent="0.2">
      <c r="A101" s="155"/>
      <c r="B101" s="156"/>
      <c r="C101" s="157"/>
      <c r="D101" s="157"/>
      <c r="E101" s="158"/>
      <c r="F101" s="159"/>
    </row>
    <row r="102" spans="1:6" x14ac:dyDescent="0.2">
      <c r="A102" s="155"/>
      <c r="B102" s="156"/>
      <c r="C102" s="157"/>
      <c r="D102" s="157"/>
      <c r="E102" s="158"/>
      <c r="F102" s="159"/>
    </row>
    <row r="103" spans="1:6" x14ac:dyDescent="0.2">
      <c r="A103" s="155"/>
      <c r="B103" s="156"/>
      <c r="C103" s="157"/>
      <c r="D103" s="157"/>
      <c r="E103" s="158"/>
      <c r="F103" s="159"/>
    </row>
    <row r="104" spans="1:6" x14ac:dyDescent="0.2">
      <c r="A104" s="155"/>
      <c r="B104" s="156"/>
      <c r="C104" s="157"/>
      <c r="D104" s="157"/>
      <c r="E104" s="158"/>
      <c r="F104" s="159"/>
    </row>
    <row r="105" spans="1:6" x14ac:dyDescent="0.2">
      <c r="A105" s="155"/>
      <c r="B105" s="156"/>
      <c r="C105" s="157"/>
      <c r="D105" s="157"/>
      <c r="E105" s="158"/>
      <c r="F105" s="159"/>
    </row>
    <row r="106" spans="1:6" x14ac:dyDescent="0.2">
      <c r="A106" s="155"/>
      <c r="B106" s="156"/>
      <c r="C106" s="157"/>
      <c r="D106" s="157"/>
      <c r="E106" s="158"/>
      <c r="F106" s="159"/>
    </row>
    <row r="107" spans="1:6" x14ac:dyDescent="0.2">
      <c r="A107" s="155"/>
      <c r="B107" s="156"/>
      <c r="C107" s="157"/>
      <c r="D107" s="157"/>
      <c r="E107" s="158"/>
      <c r="F107" s="159"/>
    </row>
    <row r="108" spans="1:6" x14ac:dyDescent="0.2">
      <c r="A108" s="155"/>
      <c r="B108" s="156"/>
      <c r="C108" s="157"/>
      <c r="D108" s="157"/>
      <c r="E108" s="158"/>
      <c r="F108" s="159"/>
    </row>
    <row r="109" spans="1:6" x14ac:dyDescent="0.2">
      <c r="A109" s="155"/>
      <c r="B109" s="156"/>
      <c r="C109" s="157"/>
      <c r="D109" s="157"/>
      <c r="E109" s="158"/>
      <c r="F109" s="159"/>
    </row>
    <row r="110" spans="1:6" x14ac:dyDescent="0.2">
      <c r="A110" s="155"/>
      <c r="B110" s="156"/>
      <c r="C110" s="157"/>
      <c r="D110" s="157"/>
      <c r="E110" s="158"/>
      <c r="F110" s="159"/>
    </row>
    <row r="111" spans="1:6" x14ac:dyDescent="0.2">
      <c r="A111" s="155"/>
      <c r="B111" s="156"/>
      <c r="C111" s="157"/>
      <c r="D111" s="157"/>
      <c r="E111" s="158"/>
      <c r="F111" s="159"/>
    </row>
    <row r="112" spans="1:6" x14ac:dyDescent="0.2">
      <c r="A112" s="155"/>
      <c r="B112" s="156"/>
      <c r="C112" s="157"/>
      <c r="D112" s="157"/>
      <c r="E112" s="158"/>
      <c r="F112" s="159"/>
    </row>
    <row r="113" spans="1:6" x14ac:dyDescent="0.2">
      <c r="A113" s="155"/>
      <c r="B113" s="156"/>
      <c r="C113" s="157"/>
      <c r="D113" s="157"/>
      <c r="E113" s="158"/>
      <c r="F113" s="159"/>
    </row>
    <row r="114" spans="1:6" x14ac:dyDescent="0.2">
      <c r="A114" s="155"/>
      <c r="B114" s="156"/>
      <c r="C114" s="157"/>
      <c r="D114" s="157"/>
      <c r="E114" s="158"/>
      <c r="F114" s="159"/>
    </row>
    <row r="115" spans="1:6" x14ac:dyDescent="0.2">
      <c r="A115" s="155"/>
      <c r="B115" s="156"/>
      <c r="C115" s="157"/>
      <c r="D115" s="157"/>
      <c r="E115" s="158"/>
      <c r="F115" s="159"/>
    </row>
    <row r="116" spans="1:6" x14ac:dyDescent="0.2">
      <c r="A116" s="155"/>
      <c r="B116" s="156"/>
      <c r="C116" s="157"/>
      <c r="D116" s="157"/>
      <c r="E116" s="158"/>
      <c r="F116" s="159"/>
    </row>
    <row r="117" spans="1:6" x14ac:dyDescent="0.2">
      <c r="A117" s="155"/>
      <c r="B117" s="156"/>
      <c r="C117" s="157"/>
      <c r="D117" s="157"/>
      <c r="E117" s="158"/>
      <c r="F117" s="159"/>
    </row>
    <row r="118" spans="1:6" x14ac:dyDescent="0.2">
      <c r="A118" s="155"/>
      <c r="B118" s="156"/>
      <c r="C118" s="157"/>
      <c r="D118" s="157"/>
      <c r="E118" s="158"/>
      <c r="F118" s="159"/>
    </row>
    <row r="119" spans="1:6" x14ac:dyDescent="0.2">
      <c r="A119" s="155"/>
      <c r="B119" s="156"/>
      <c r="C119" s="157"/>
      <c r="D119" s="157"/>
      <c r="E119" s="158"/>
      <c r="F119" s="159"/>
    </row>
    <row r="120" spans="1:6" x14ac:dyDescent="0.2">
      <c r="A120" s="155"/>
      <c r="B120" s="156"/>
      <c r="C120" s="157"/>
      <c r="D120" s="157"/>
      <c r="E120" s="158"/>
      <c r="F120" s="159"/>
    </row>
    <row r="121" spans="1:6" x14ac:dyDescent="0.2">
      <c r="A121" s="155"/>
      <c r="B121" s="156"/>
      <c r="C121" s="157"/>
      <c r="D121" s="157"/>
      <c r="E121" s="158"/>
      <c r="F121" s="159"/>
    </row>
    <row r="122" spans="1:6" x14ac:dyDescent="0.2">
      <c r="A122" s="155"/>
      <c r="B122" s="156"/>
      <c r="C122" s="157"/>
      <c r="D122" s="157"/>
      <c r="E122" s="158"/>
      <c r="F122" s="159"/>
    </row>
    <row r="123" spans="1:6" x14ac:dyDescent="0.2">
      <c r="A123" s="155"/>
      <c r="B123" s="156"/>
      <c r="C123" s="157"/>
      <c r="D123" s="157"/>
      <c r="E123" s="158"/>
      <c r="F123" s="159"/>
    </row>
    <row r="124" spans="1:6" x14ac:dyDescent="0.2">
      <c r="A124" s="155"/>
      <c r="B124" s="156"/>
      <c r="C124" s="157"/>
      <c r="D124" s="157"/>
      <c r="E124" s="158"/>
      <c r="F124" s="159"/>
    </row>
    <row r="125" spans="1:6" x14ac:dyDescent="0.2">
      <c r="A125" s="155"/>
      <c r="B125" s="156"/>
      <c r="C125" s="157"/>
      <c r="D125" s="157"/>
      <c r="E125" s="158"/>
      <c r="F125" s="159"/>
    </row>
    <row r="126" spans="1:6" x14ac:dyDescent="0.2">
      <c r="A126" s="155"/>
      <c r="B126" s="156"/>
      <c r="C126" s="157"/>
      <c r="D126" s="157"/>
      <c r="E126" s="158"/>
      <c r="F126" s="159"/>
    </row>
    <row r="127" spans="1:6" x14ac:dyDescent="0.2">
      <c r="A127" s="155"/>
      <c r="B127" s="156"/>
      <c r="C127" s="157"/>
      <c r="D127" s="157"/>
      <c r="E127" s="158"/>
      <c r="F127" s="159"/>
    </row>
    <row r="128" spans="1:6" x14ac:dyDescent="0.2">
      <c r="A128" s="155"/>
      <c r="B128" s="156"/>
      <c r="C128" s="157"/>
      <c r="D128" s="157"/>
      <c r="E128" s="158"/>
      <c r="F128" s="159"/>
    </row>
    <row r="129" spans="1:6" x14ac:dyDescent="0.2">
      <c r="A129" s="155"/>
      <c r="B129" s="156"/>
      <c r="C129" s="157"/>
      <c r="D129" s="157"/>
      <c r="E129" s="158"/>
      <c r="F129" s="159"/>
    </row>
    <row r="130" spans="1:6" x14ac:dyDescent="0.2">
      <c r="A130" s="155"/>
      <c r="B130" s="156"/>
      <c r="C130" s="157"/>
      <c r="D130" s="157"/>
      <c r="E130" s="158"/>
      <c r="F130" s="159"/>
    </row>
    <row r="131" spans="1:6" x14ac:dyDescent="0.2">
      <c r="A131" s="155"/>
      <c r="B131" s="156"/>
      <c r="C131" s="157"/>
      <c r="D131" s="157"/>
      <c r="E131" s="158"/>
      <c r="F131" s="159"/>
    </row>
    <row r="132" spans="1:6" x14ac:dyDescent="0.2">
      <c r="A132" s="155"/>
      <c r="B132" s="156"/>
      <c r="C132" s="157"/>
      <c r="D132" s="157"/>
      <c r="E132" s="158"/>
      <c r="F132" s="159"/>
    </row>
    <row r="133" spans="1:6" x14ac:dyDescent="0.2">
      <c r="A133" s="155"/>
      <c r="B133" s="156"/>
      <c r="C133" s="157"/>
      <c r="D133" s="157"/>
      <c r="E133" s="158"/>
      <c r="F133" s="159"/>
    </row>
    <row r="134" spans="1:6" x14ac:dyDescent="0.2">
      <c r="A134" s="155"/>
      <c r="B134" s="156"/>
      <c r="C134" s="157"/>
      <c r="D134" s="157"/>
      <c r="E134" s="158"/>
      <c r="F134" s="159"/>
    </row>
    <row r="135" spans="1:6" x14ac:dyDescent="0.2">
      <c r="A135" s="155"/>
      <c r="B135" s="156"/>
      <c r="C135" s="157"/>
      <c r="D135" s="157"/>
      <c r="E135" s="158"/>
      <c r="F135" s="159"/>
    </row>
    <row r="136" spans="1:6" x14ac:dyDescent="0.2">
      <c r="A136" s="155"/>
      <c r="B136" s="156"/>
      <c r="C136" s="157"/>
      <c r="D136" s="157"/>
      <c r="E136" s="158"/>
      <c r="F136" s="159"/>
    </row>
    <row r="137" spans="1:6" x14ac:dyDescent="0.2">
      <c r="A137" s="155"/>
      <c r="B137" s="156"/>
      <c r="C137" s="157"/>
      <c r="D137" s="157"/>
      <c r="E137" s="158"/>
      <c r="F137" s="159"/>
    </row>
    <row r="138" spans="1:6" x14ac:dyDescent="0.2">
      <c r="A138" s="155"/>
      <c r="B138" s="156"/>
      <c r="C138" s="157"/>
      <c r="D138" s="157"/>
      <c r="E138" s="158"/>
      <c r="F138" s="159"/>
    </row>
    <row r="139" spans="1:6" x14ac:dyDescent="0.2">
      <c r="A139" s="155"/>
      <c r="B139" s="156"/>
      <c r="C139" s="157"/>
      <c r="D139" s="157"/>
      <c r="E139" s="158"/>
      <c r="F139" s="159"/>
    </row>
    <row r="140" spans="1:6" x14ac:dyDescent="0.2">
      <c r="A140" s="155"/>
      <c r="B140" s="156"/>
      <c r="C140" s="157"/>
      <c r="D140" s="157"/>
      <c r="E140" s="158"/>
      <c r="F140" s="159"/>
    </row>
    <row r="141" spans="1:6" x14ac:dyDescent="0.2">
      <c r="A141" s="155"/>
      <c r="B141" s="156"/>
      <c r="C141" s="157"/>
      <c r="D141" s="157"/>
      <c r="E141" s="158"/>
      <c r="F141" s="159"/>
    </row>
    <row r="142" spans="1:6" x14ac:dyDescent="0.2">
      <c r="A142" s="155"/>
      <c r="B142" s="156"/>
      <c r="C142" s="157"/>
      <c r="D142" s="157"/>
      <c r="E142" s="158"/>
      <c r="F142" s="159"/>
    </row>
    <row r="143" spans="1:6" x14ac:dyDescent="0.2">
      <c r="A143" s="155"/>
      <c r="B143" s="156"/>
      <c r="C143" s="157"/>
      <c r="D143" s="157"/>
      <c r="E143" s="158"/>
      <c r="F143" s="159"/>
    </row>
    <row r="144" spans="1:6" x14ac:dyDescent="0.2">
      <c r="A144" s="155"/>
      <c r="B144" s="156"/>
      <c r="C144" s="157"/>
      <c r="D144" s="157"/>
      <c r="E144" s="158"/>
      <c r="F144" s="159"/>
    </row>
    <row r="145" spans="1:6" x14ac:dyDescent="0.2">
      <c r="A145" s="155"/>
      <c r="B145" s="156"/>
      <c r="C145" s="157"/>
      <c r="D145" s="157"/>
      <c r="E145" s="158"/>
      <c r="F145" s="159"/>
    </row>
    <row r="146" spans="1:6" x14ac:dyDescent="0.2">
      <c r="A146" s="155"/>
      <c r="B146" s="156"/>
      <c r="C146" s="157"/>
      <c r="D146" s="157"/>
      <c r="E146" s="158"/>
      <c r="F146" s="159"/>
    </row>
    <row r="147" spans="1:6" x14ac:dyDescent="0.2">
      <c r="A147" s="155"/>
      <c r="B147" s="156"/>
      <c r="C147" s="157"/>
      <c r="D147" s="157"/>
      <c r="E147" s="158"/>
      <c r="F147" s="159"/>
    </row>
    <row r="148" spans="1:6" x14ac:dyDescent="0.2">
      <c r="A148" s="155"/>
      <c r="B148" s="156"/>
      <c r="C148" s="157"/>
      <c r="D148" s="157"/>
      <c r="E148" s="158"/>
      <c r="F148" s="159"/>
    </row>
    <row r="149" spans="1:6" x14ac:dyDescent="0.2">
      <c r="A149" s="155"/>
      <c r="B149" s="156"/>
      <c r="C149" s="157"/>
      <c r="D149" s="157"/>
      <c r="E149" s="158"/>
      <c r="F149" s="159"/>
    </row>
    <row r="150" spans="1:6" x14ac:dyDescent="0.2">
      <c r="A150" s="155"/>
      <c r="B150" s="156"/>
      <c r="C150" s="157"/>
      <c r="D150" s="157"/>
      <c r="E150" s="158"/>
      <c r="F150" s="159"/>
    </row>
    <row r="151" spans="1:6" x14ac:dyDescent="0.2">
      <c r="A151" s="155"/>
      <c r="B151" s="156"/>
      <c r="C151" s="157"/>
      <c r="D151" s="157"/>
      <c r="E151" s="158"/>
      <c r="F151" s="159"/>
    </row>
    <row r="152" spans="1:6" x14ac:dyDescent="0.2">
      <c r="A152" s="155"/>
      <c r="B152" s="156"/>
      <c r="C152" s="157"/>
      <c r="D152" s="157"/>
      <c r="E152" s="158"/>
      <c r="F152" s="159"/>
    </row>
    <row r="153" spans="1:6" x14ac:dyDescent="0.2">
      <c r="A153" s="155"/>
      <c r="B153" s="156"/>
      <c r="C153" s="157"/>
      <c r="D153" s="157"/>
      <c r="E153" s="158"/>
      <c r="F153" s="159"/>
    </row>
    <row r="154" spans="1:6" x14ac:dyDescent="0.2">
      <c r="A154" s="155"/>
      <c r="B154" s="156"/>
      <c r="C154" s="157"/>
      <c r="D154" s="157"/>
      <c r="E154" s="158"/>
      <c r="F154" s="159"/>
    </row>
    <row r="155" spans="1:6" x14ac:dyDescent="0.2">
      <c r="A155" s="155"/>
      <c r="B155" s="156"/>
      <c r="C155" s="157"/>
      <c r="D155" s="157"/>
      <c r="E155" s="158"/>
      <c r="F155" s="159"/>
    </row>
    <row r="156" spans="1:6" x14ac:dyDescent="0.2">
      <c r="A156" s="155"/>
      <c r="B156" s="156"/>
      <c r="C156" s="157"/>
      <c r="D156" s="157"/>
      <c r="E156" s="158"/>
      <c r="F156" s="159"/>
    </row>
    <row r="157" spans="1:6" x14ac:dyDescent="0.2">
      <c r="A157" s="155"/>
      <c r="B157" s="156"/>
      <c r="C157" s="157"/>
      <c r="D157" s="157"/>
      <c r="E157" s="158"/>
      <c r="F157" s="159"/>
    </row>
    <row r="158" spans="1:6" x14ac:dyDescent="0.2">
      <c r="A158" s="155"/>
      <c r="B158" s="156"/>
      <c r="C158" s="157"/>
      <c r="D158" s="157"/>
      <c r="E158" s="158"/>
      <c r="F158" s="159"/>
    </row>
    <row r="159" spans="1:6" x14ac:dyDescent="0.2">
      <c r="A159" s="155"/>
      <c r="B159" s="156"/>
      <c r="C159" s="157"/>
      <c r="D159" s="157"/>
      <c r="E159" s="158"/>
      <c r="F159" s="159"/>
    </row>
    <row r="160" spans="1:6" x14ac:dyDescent="0.2">
      <c r="A160" s="155"/>
      <c r="B160" s="156"/>
      <c r="C160" s="157"/>
      <c r="D160" s="157"/>
      <c r="E160" s="158"/>
      <c r="F160" s="159"/>
    </row>
    <row r="161" spans="1:6" x14ac:dyDescent="0.2">
      <c r="A161" s="155"/>
      <c r="B161" s="156"/>
      <c r="C161" s="157"/>
      <c r="D161" s="157"/>
      <c r="E161" s="158"/>
      <c r="F161" s="159"/>
    </row>
    <row r="162" spans="1:6" x14ac:dyDescent="0.2">
      <c r="A162" s="155"/>
      <c r="B162" s="156"/>
      <c r="C162" s="157"/>
      <c r="D162" s="157"/>
      <c r="E162" s="158"/>
      <c r="F162" s="159"/>
    </row>
    <row r="163" spans="1:6" x14ac:dyDescent="0.2">
      <c r="A163" s="155"/>
      <c r="B163" s="156"/>
      <c r="C163" s="157"/>
      <c r="D163" s="157"/>
      <c r="E163" s="158"/>
      <c r="F163" s="159"/>
    </row>
    <row r="164" spans="1:6" x14ac:dyDescent="0.2">
      <c r="A164" s="155"/>
      <c r="B164" s="156"/>
      <c r="C164" s="157"/>
      <c r="D164" s="157"/>
      <c r="E164" s="158"/>
      <c r="F164" s="159"/>
    </row>
    <row r="165" spans="1:6" x14ac:dyDescent="0.2">
      <c r="A165" s="155"/>
      <c r="B165" s="156"/>
      <c r="C165" s="157"/>
      <c r="D165" s="157"/>
      <c r="E165" s="158"/>
      <c r="F165" s="159"/>
    </row>
    <row r="166" spans="1:6" x14ac:dyDescent="0.2">
      <c r="A166" s="155"/>
      <c r="B166" s="156"/>
      <c r="C166" s="157"/>
      <c r="D166" s="157"/>
      <c r="E166" s="158"/>
      <c r="F166" s="159"/>
    </row>
    <row r="167" spans="1:6" x14ac:dyDescent="0.2">
      <c r="A167" s="155"/>
      <c r="B167" s="156"/>
      <c r="C167" s="157"/>
      <c r="D167" s="157"/>
      <c r="E167" s="158"/>
      <c r="F167" s="159"/>
    </row>
    <row r="168" spans="1:6" x14ac:dyDescent="0.2">
      <c r="A168" s="155"/>
      <c r="B168" s="156"/>
      <c r="C168" s="157"/>
      <c r="D168" s="157"/>
      <c r="E168" s="158"/>
      <c r="F168" s="159"/>
    </row>
    <row r="169" spans="1:6" x14ac:dyDescent="0.2">
      <c r="A169" s="155"/>
      <c r="B169" s="156"/>
      <c r="C169" s="157"/>
      <c r="D169" s="157"/>
      <c r="E169" s="158"/>
      <c r="F169" s="159"/>
    </row>
    <row r="170" spans="1:6" x14ac:dyDescent="0.2">
      <c r="A170" s="155"/>
      <c r="B170" s="156"/>
      <c r="C170" s="157"/>
      <c r="D170" s="157"/>
      <c r="E170" s="158"/>
      <c r="F170" s="159"/>
    </row>
    <row r="171" spans="1:6" x14ac:dyDescent="0.2">
      <c r="A171" s="155"/>
      <c r="B171" s="156"/>
      <c r="C171" s="157"/>
      <c r="D171" s="157"/>
      <c r="E171" s="158"/>
      <c r="F171" s="159"/>
    </row>
    <row r="172" spans="1:6" x14ac:dyDescent="0.2">
      <c r="A172" s="155"/>
      <c r="B172" s="156"/>
      <c r="C172" s="157"/>
      <c r="D172" s="157"/>
      <c r="E172" s="158"/>
      <c r="F172" s="159"/>
    </row>
    <row r="173" spans="1:6" x14ac:dyDescent="0.2">
      <c r="A173" s="155"/>
      <c r="B173" s="156"/>
      <c r="C173" s="157"/>
      <c r="D173" s="157"/>
      <c r="E173" s="158"/>
      <c r="F173" s="159"/>
    </row>
    <row r="174" spans="1:6" x14ac:dyDescent="0.2">
      <c r="A174" s="155"/>
      <c r="B174" s="156"/>
      <c r="C174" s="157"/>
      <c r="D174" s="157"/>
      <c r="E174" s="158"/>
      <c r="F174" s="159"/>
    </row>
    <row r="175" spans="1:6" x14ac:dyDescent="0.2">
      <c r="A175" s="155"/>
      <c r="B175" s="156"/>
      <c r="C175" s="157"/>
      <c r="D175" s="157"/>
      <c r="E175" s="158"/>
      <c r="F175" s="159"/>
    </row>
    <row r="176" spans="1:6" x14ac:dyDescent="0.2">
      <c r="A176" s="155"/>
      <c r="B176" s="156"/>
      <c r="C176" s="157"/>
      <c r="D176" s="157"/>
      <c r="E176" s="158"/>
      <c r="F176" s="159"/>
    </row>
    <row r="177" spans="1:6" x14ac:dyDescent="0.2">
      <c r="A177" s="155"/>
      <c r="B177" s="156"/>
      <c r="C177" s="157"/>
      <c r="D177" s="157"/>
      <c r="E177" s="158"/>
      <c r="F177" s="159"/>
    </row>
    <row r="178" spans="1:6" x14ac:dyDescent="0.2">
      <c r="A178" s="155"/>
      <c r="B178" s="156"/>
      <c r="C178" s="157"/>
      <c r="D178" s="157"/>
      <c r="E178" s="158"/>
      <c r="F178" s="159"/>
    </row>
    <row r="179" spans="1:6" x14ac:dyDescent="0.2">
      <c r="A179" s="155"/>
      <c r="B179" s="156"/>
      <c r="C179" s="157"/>
      <c r="D179" s="157"/>
      <c r="E179" s="158"/>
      <c r="F179" s="159"/>
    </row>
    <row r="180" spans="1:6" x14ac:dyDescent="0.2">
      <c r="A180" s="155"/>
      <c r="B180" s="156"/>
      <c r="C180" s="157"/>
      <c r="D180" s="157"/>
      <c r="E180" s="158"/>
      <c r="F180" s="159"/>
    </row>
    <row r="181" spans="1:6" x14ac:dyDescent="0.2">
      <c r="A181" s="155"/>
      <c r="B181" s="156"/>
      <c r="C181" s="157"/>
      <c r="D181" s="157"/>
      <c r="E181" s="158"/>
      <c r="F181" s="159"/>
    </row>
    <row r="182" spans="1:6" x14ac:dyDescent="0.2">
      <c r="A182" s="155"/>
      <c r="B182" s="156"/>
      <c r="C182" s="157"/>
      <c r="D182" s="157"/>
      <c r="E182" s="158"/>
      <c r="F182" s="159"/>
    </row>
    <row r="183" spans="1:6" x14ac:dyDescent="0.2">
      <c r="A183" s="155"/>
      <c r="B183" s="156"/>
      <c r="C183" s="157"/>
      <c r="D183" s="157"/>
      <c r="E183" s="158"/>
      <c r="F183" s="159"/>
    </row>
    <row r="184" spans="1:6" x14ac:dyDescent="0.2">
      <c r="A184" s="155"/>
      <c r="B184" s="156"/>
      <c r="C184" s="157"/>
      <c r="D184" s="157"/>
      <c r="E184" s="158"/>
      <c r="F184" s="159"/>
    </row>
    <row r="185" spans="1:6" x14ac:dyDescent="0.2">
      <c r="A185" s="155"/>
      <c r="B185" s="156"/>
      <c r="C185" s="157"/>
      <c r="D185" s="157"/>
      <c r="E185" s="158"/>
      <c r="F185" s="159"/>
    </row>
    <row r="186" spans="1:6" x14ac:dyDescent="0.2">
      <c r="A186" s="155"/>
      <c r="B186" s="156"/>
      <c r="C186" s="157"/>
      <c r="D186" s="157"/>
      <c r="E186" s="158"/>
      <c r="F186" s="159"/>
    </row>
    <row r="187" spans="1:6" x14ac:dyDescent="0.2">
      <c r="A187" s="155"/>
      <c r="B187" s="156"/>
      <c r="C187" s="157"/>
      <c r="D187" s="157"/>
      <c r="E187" s="158"/>
      <c r="F187" s="159"/>
    </row>
    <row r="188" spans="1:6" x14ac:dyDescent="0.2">
      <c r="A188" s="155"/>
      <c r="B188" s="156"/>
      <c r="C188" s="157"/>
      <c r="D188" s="157"/>
      <c r="E188" s="158"/>
      <c r="F188" s="159"/>
    </row>
    <row r="189" spans="1:6" x14ac:dyDescent="0.2">
      <c r="A189" s="155"/>
      <c r="B189" s="156"/>
      <c r="C189" s="157"/>
      <c r="D189" s="157"/>
      <c r="E189" s="158"/>
      <c r="F189" s="159"/>
    </row>
    <row r="190" spans="1:6" x14ac:dyDescent="0.2">
      <c r="A190" s="155"/>
      <c r="B190" s="156"/>
      <c r="C190" s="157"/>
      <c r="D190" s="157"/>
      <c r="E190" s="158"/>
      <c r="F190" s="159"/>
    </row>
    <row r="191" spans="1:6" x14ac:dyDescent="0.2">
      <c r="A191" s="155"/>
      <c r="B191" s="156"/>
      <c r="C191" s="157"/>
      <c r="D191" s="157"/>
      <c r="E191" s="158"/>
      <c r="F191" s="159"/>
    </row>
    <row r="192" spans="1:6" x14ac:dyDescent="0.2">
      <c r="A192" s="155"/>
      <c r="B192" s="156"/>
      <c r="C192" s="157"/>
      <c r="D192" s="157"/>
      <c r="E192" s="158"/>
      <c r="F192" s="159"/>
    </row>
    <row r="193" spans="1:6" x14ac:dyDescent="0.2">
      <c r="A193" s="155"/>
      <c r="B193" s="156"/>
      <c r="C193" s="157"/>
      <c r="D193" s="157"/>
      <c r="E193" s="158"/>
      <c r="F193" s="159"/>
    </row>
    <row r="194" spans="1:6" x14ac:dyDescent="0.2">
      <c r="A194" s="155"/>
      <c r="B194" s="156"/>
      <c r="C194" s="157"/>
      <c r="D194" s="157"/>
      <c r="E194" s="158"/>
      <c r="F194" s="159"/>
    </row>
    <row r="195" spans="1:6" x14ac:dyDescent="0.2">
      <c r="A195" s="155"/>
      <c r="B195" s="156"/>
      <c r="C195" s="157"/>
      <c r="D195" s="157"/>
      <c r="E195" s="158"/>
      <c r="F195" s="159"/>
    </row>
    <row r="196" spans="1:6" x14ac:dyDescent="0.2">
      <c r="A196" s="155"/>
      <c r="B196" s="156"/>
      <c r="C196" s="157"/>
      <c r="D196" s="157"/>
      <c r="E196" s="158"/>
      <c r="F196" s="159"/>
    </row>
    <row r="197" spans="1:6" x14ac:dyDescent="0.2">
      <c r="A197" s="155"/>
      <c r="B197" s="156"/>
      <c r="C197" s="157"/>
      <c r="D197" s="157"/>
      <c r="E197" s="158"/>
      <c r="F197" s="159"/>
    </row>
    <row r="198" spans="1:6" x14ac:dyDescent="0.2">
      <c r="A198" s="155"/>
      <c r="B198" s="156"/>
      <c r="C198" s="157"/>
      <c r="D198" s="157"/>
      <c r="E198" s="158"/>
      <c r="F198" s="159"/>
    </row>
    <row r="199" spans="1:6" x14ac:dyDescent="0.2">
      <c r="A199" s="155"/>
      <c r="B199" s="156"/>
      <c r="C199" s="157"/>
      <c r="D199" s="157"/>
      <c r="E199" s="158"/>
      <c r="F199" s="159"/>
    </row>
    <row r="200" spans="1:6" x14ac:dyDescent="0.2">
      <c r="A200" s="155"/>
      <c r="B200" s="156"/>
      <c r="C200" s="157"/>
      <c r="D200" s="157"/>
      <c r="E200" s="158"/>
      <c r="F200" s="159"/>
    </row>
    <row r="201" spans="1:6" x14ac:dyDescent="0.2">
      <c r="A201" s="155"/>
      <c r="B201" s="156"/>
      <c r="C201" s="157"/>
      <c r="D201" s="157"/>
      <c r="E201" s="158"/>
      <c r="F201" s="159"/>
    </row>
    <row r="202" spans="1:6" x14ac:dyDescent="0.2">
      <c r="A202" s="155"/>
      <c r="B202" s="156"/>
      <c r="C202" s="157"/>
      <c r="D202" s="157"/>
      <c r="E202" s="158"/>
      <c r="F202" s="159"/>
    </row>
    <row r="203" spans="1:6" x14ac:dyDescent="0.2">
      <c r="A203" s="155"/>
      <c r="B203" s="156"/>
      <c r="C203" s="157"/>
      <c r="D203" s="157"/>
      <c r="E203" s="158"/>
      <c r="F203" s="159"/>
    </row>
    <row r="204" spans="1:6" x14ac:dyDescent="0.2">
      <c r="A204" s="155"/>
      <c r="B204" s="156"/>
      <c r="C204" s="157"/>
      <c r="D204" s="157"/>
      <c r="E204" s="158"/>
      <c r="F204" s="159"/>
    </row>
    <row r="205" spans="1:6" x14ac:dyDescent="0.2">
      <c r="A205" s="155"/>
      <c r="B205" s="156"/>
      <c r="C205" s="157"/>
      <c r="D205" s="157"/>
      <c r="E205" s="158"/>
      <c r="F205" s="159"/>
    </row>
    <row r="206" spans="1:6" x14ac:dyDescent="0.2">
      <c r="A206" s="155"/>
      <c r="B206" s="156"/>
      <c r="C206" s="157"/>
      <c r="D206" s="157"/>
      <c r="E206" s="158"/>
      <c r="F206" s="159"/>
    </row>
    <row r="207" spans="1:6" x14ac:dyDescent="0.2">
      <c r="A207" s="155"/>
      <c r="B207" s="156"/>
      <c r="C207" s="157"/>
      <c r="D207" s="157"/>
      <c r="E207" s="158"/>
      <c r="F207" s="159"/>
    </row>
    <row r="208" spans="1:6" x14ac:dyDescent="0.2">
      <c r="A208" s="155"/>
      <c r="B208" s="156"/>
      <c r="C208" s="157"/>
      <c r="D208" s="157"/>
      <c r="E208" s="158"/>
      <c r="F208" s="159"/>
    </row>
    <row r="209" spans="1:6" x14ac:dyDescent="0.2">
      <c r="A209" s="155"/>
      <c r="B209" s="156"/>
      <c r="C209" s="157"/>
      <c r="D209" s="157"/>
      <c r="E209" s="158"/>
      <c r="F209" s="159"/>
    </row>
    <row r="210" spans="1:6" x14ac:dyDescent="0.2">
      <c r="A210" s="155"/>
      <c r="B210" s="156"/>
      <c r="C210" s="157"/>
      <c r="D210" s="157"/>
      <c r="E210" s="158"/>
      <c r="F210" s="159"/>
    </row>
    <row r="211" spans="1:6" x14ac:dyDescent="0.2">
      <c r="A211" s="155"/>
      <c r="B211" s="156"/>
      <c r="C211" s="157"/>
      <c r="D211" s="157"/>
      <c r="E211" s="158"/>
      <c r="F211" s="159"/>
    </row>
    <row r="212" spans="1:6" x14ac:dyDescent="0.2">
      <c r="A212" s="155"/>
      <c r="B212" s="156"/>
      <c r="C212" s="157"/>
      <c r="D212" s="157"/>
      <c r="E212" s="158"/>
      <c r="F212" s="159"/>
    </row>
    <row r="213" spans="1:6" x14ac:dyDescent="0.2">
      <c r="A213" s="155"/>
      <c r="B213" s="156"/>
      <c r="C213" s="157"/>
      <c r="D213" s="157"/>
      <c r="E213" s="158"/>
      <c r="F213" s="159"/>
    </row>
    <row r="214" spans="1:6" x14ac:dyDescent="0.2">
      <c r="A214" s="155"/>
      <c r="B214" s="156"/>
      <c r="C214" s="157"/>
      <c r="D214" s="157"/>
      <c r="E214" s="158"/>
      <c r="F214" s="159"/>
    </row>
    <row r="215" spans="1:6" x14ac:dyDescent="0.2">
      <c r="A215" s="155"/>
      <c r="B215" s="156"/>
      <c r="C215" s="157"/>
      <c r="D215" s="157"/>
      <c r="E215" s="158"/>
      <c r="F215" s="159"/>
    </row>
    <row r="216" spans="1:6" x14ac:dyDescent="0.2">
      <c r="A216" s="155"/>
      <c r="B216" s="156"/>
      <c r="C216" s="157"/>
      <c r="D216" s="157"/>
      <c r="E216" s="158"/>
      <c r="F216" s="159"/>
    </row>
    <row r="217" spans="1:6" x14ac:dyDescent="0.2">
      <c r="A217" s="155"/>
      <c r="B217" s="156"/>
      <c r="C217" s="157"/>
      <c r="D217" s="157"/>
      <c r="E217" s="158"/>
      <c r="F217" s="159"/>
    </row>
    <row r="218" spans="1:6" x14ac:dyDescent="0.2">
      <c r="A218" s="155"/>
      <c r="B218" s="156"/>
      <c r="C218" s="157"/>
      <c r="D218" s="157"/>
      <c r="E218" s="158"/>
      <c r="F218" s="159"/>
    </row>
    <row r="219" spans="1:6" x14ac:dyDescent="0.2">
      <c r="A219" s="155"/>
      <c r="B219" s="156"/>
      <c r="C219" s="157"/>
      <c r="D219" s="157"/>
      <c r="E219" s="158"/>
      <c r="F219" s="159"/>
    </row>
    <row r="220" spans="1:6" x14ac:dyDescent="0.2">
      <c r="A220" s="155"/>
      <c r="B220" s="156"/>
      <c r="C220" s="157"/>
      <c r="D220" s="157"/>
      <c r="E220" s="158"/>
      <c r="F220" s="159"/>
    </row>
    <row r="221" spans="1:6" x14ac:dyDescent="0.2">
      <c r="A221" s="155"/>
      <c r="B221" s="156"/>
      <c r="C221" s="157"/>
      <c r="D221" s="157"/>
      <c r="E221" s="158"/>
      <c r="F221" s="159"/>
    </row>
    <row r="222" spans="1:6" x14ac:dyDescent="0.2">
      <c r="A222" s="155"/>
      <c r="B222" s="156"/>
      <c r="C222" s="157"/>
      <c r="D222" s="157"/>
      <c r="E222" s="158"/>
      <c r="F222" s="159"/>
    </row>
    <row r="223" spans="1:6" x14ac:dyDescent="0.2">
      <c r="A223" s="155"/>
      <c r="B223" s="156"/>
      <c r="C223" s="157"/>
      <c r="D223" s="157"/>
      <c r="E223" s="158"/>
      <c r="F223" s="159"/>
    </row>
    <row r="224" spans="1:6" x14ac:dyDescent="0.2">
      <c r="A224" s="155"/>
      <c r="B224" s="156"/>
      <c r="C224" s="157"/>
      <c r="D224" s="157"/>
      <c r="E224" s="158"/>
      <c r="F224" s="159"/>
    </row>
    <row r="225" spans="1:6" x14ac:dyDescent="0.2">
      <c r="A225" s="155"/>
      <c r="B225" s="156"/>
      <c r="C225" s="157"/>
      <c r="D225" s="157"/>
      <c r="E225" s="158"/>
      <c r="F225" s="159"/>
    </row>
    <row r="226" spans="1:6" x14ac:dyDescent="0.2">
      <c r="A226" s="155"/>
      <c r="B226" s="156"/>
      <c r="C226" s="157"/>
      <c r="D226" s="157"/>
      <c r="E226" s="158"/>
      <c r="F226" s="159"/>
    </row>
    <row r="227" spans="1:6" x14ac:dyDescent="0.2">
      <c r="A227" s="155"/>
      <c r="B227" s="156"/>
      <c r="C227" s="157"/>
      <c r="D227" s="157"/>
      <c r="E227" s="158"/>
      <c r="F227" s="159"/>
    </row>
    <row r="228" spans="1:6" x14ac:dyDescent="0.2">
      <c r="A228" s="155"/>
      <c r="B228" s="156"/>
      <c r="C228" s="157"/>
      <c r="D228" s="157"/>
      <c r="E228" s="158"/>
      <c r="F228" s="159"/>
    </row>
    <row r="229" spans="1:6" x14ac:dyDescent="0.2">
      <c r="A229" s="155"/>
      <c r="B229" s="156"/>
      <c r="C229" s="157"/>
      <c r="D229" s="157"/>
      <c r="E229" s="158"/>
      <c r="F229" s="159"/>
    </row>
    <row r="230" spans="1:6" x14ac:dyDescent="0.2">
      <c r="A230" s="155"/>
      <c r="B230" s="156"/>
      <c r="C230" s="157"/>
      <c r="D230" s="157"/>
      <c r="E230" s="158"/>
      <c r="F230" s="159"/>
    </row>
    <row r="231" spans="1:6" x14ac:dyDescent="0.2">
      <c r="A231" s="155"/>
      <c r="B231" s="156"/>
      <c r="C231" s="157"/>
      <c r="D231" s="157"/>
      <c r="E231" s="158"/>
      <c r="F231" s="159"/>
    </row>
    <row r="232" spans="1:6" x14ac:dyDescent="0.2">
      <c r="A232" s="155"/>
      <c r="B232" s="156"/>
      <c r="C232" s="157"/>
      <c r="D232" s="157"/>
      <c r="E232" s="158"/>
      <c r="F232" s="159"/>
    </row>
    <row r="233" spans="1:6" x14ac:dyDescent="0.2">
      <c r="A233" s="155"/>
      <c r="B233" s="156"/>
      <c r="C233" s="157"/>
      <c r="D233" s="157"/>
      <c r="E233" s="158"/>
      <c r="F233" s="159"/>
    </row>
    <row r="234" spans="1:6" x14ac:dyDescent="0.2">
      <c r="A234" s="155"/>
      <c r="B234" s="156"/>
      <c r="C234" s="157"/>
      <c r="D234" s="157"/>
      <c r="E234" s="158"/>
      <c r="F234" s="159"/>
    </row>
    <row r="235" spans="1:6" x14ac:dyDescent="0.2">
      <c r="A235" s="155"/>
      <c r="B235" s="156"/>
      <c r="C235" s="157"/>
      <c r="D235" s="157"/>
      <c r="E235" s="158"/>
      <c r="F235" s="159"/>
    </row>
    <row r="236" spans="1:6" x14ac:dyDescent="0.2">
      <c r="A236" s="155"/>
      <c r="B236" s="156"/>
      <c r="C236" s="157"/>
      <c r="D236" s="157"/>
      <c r="E236" s="158"/>
      <c r="F236" s="159"/>
    </row>
    <row r="237" spans="1:6" x14ac:dyDescent="0.2">
      <c r="A237" s="155"/>
      <c r="B237" s="156"/>
      <c r="C237" s="157"/>
      <c r="D237" s="157"/>
      <c r="E237" s="158"/>
      <c r="F237" s="159"/>
    </row>
    <row r="238" spans="1:6" x14ac:dyDescent="0.2">
      <c r="A238" s="155"/>
      <c r="B238" s="156"/>
      <c r="C238" s="157"/>
      <c r="D238" s="157"/>
      <c r="E238" s="158"/>
      <c r="F238" s="159"/>
    </row>
    <row r="239" spans="1:6" x14ac:dyDescent="0.2">
      <c r="A239" s="155"/>
      <c r="B239" s="156"/>
      <c r="C239" s="157"/>
      <c r="D239" s="157"/>
      <c r="E239" s="158"/>
      <c r="F239" s="159"/>
    </row>
    <row r="240" spans="1:6" x14ac:dyDescent="0.2">
      <c r="A240" s="155"/>
      <c r="B240" s="156"/>
      <c r="C240" s="157"/>
      <c r="D240" s="157"/>
      <c r="E240" s="158"/>
      <c r="F240" s="159"/>
    </row>
    <row r="241" spans="1:6" x14ac:dyDescent="0.2">
      <c r="A241" s="155"/>
      <c r="B241" s="156"/>
      <c r="C241" s="157"/>
      <c r="D241" s="157"/>
      <c r="E241" s="158"/>
      <c r="F241" s="159"/>
    </row>
    <row r="242" spans="1:6" x14ac:dyDescent="0.2">
      <c r="A242" s="155"/>
      <c r="B242" s="156"/>
      <c r="C242" s="157"/>
      <c r="D242" s="157"/>
      <c r="E242" s="158"/>
      <c r="F242" s="159"/>
    </row>
    <row r="243" spans="1:6" x14ac:dyDescent="0.2">
      <c r="A243" s="155"/>
      <c r="B243" s="156"/>
      <c r="C243" s="157"/>
      <c r="D243" s="157"/>
      <c r="E243" s="158"/>
      <c r="F243" s="159"/>
    </row>
    <row r="244" spans="1:6" x14ac:dyDescent="0.2">
      <c r="A244" s="155"/>
      <c r="B244" s="156"/>
      <c r="C244" s="157"/>
      <c r="D244" s="157"/>
      <c r="E244" s="158"/>
      <c r="F244" s="159"/>
    </row>
    <row r="245" spans="1:6" x14ac:dyDescent="0.2">
      <c r="A245" s="155"/>
      <c r="B245" s="156"/>
      <c r="C245" s="157"/>
      <c r="D245" s="157"/>
      <c r="E245" s="158"/>
      <c r="F245" s="159"/>
    </row>
    <row r="246" spans="1:6" x14ac:dyDescent="0.2">
      <c r="A246" s="155"/>
      <c r="B246" s="156"/>
      <c r="C246" s="157"/>
      <c r="D246" s="157"/>
      <c r="E246" s="158"/>
      <c r="F246" s="159"/>
    </row>
    <row r="247" spans="1:6" x14ac:dyDescent="0.2">
      <c r="A247" s="155"/>
      <c r="B247" s="156"/>
      <c r="C247" s="157"/>
      <c r="D247" s="157"/>
      <c r="E247" s="158"/>
      <c r="F247" s="159"/>
    </row>
    <row r="248" spans="1:6" x14ac:dyDescent="0.2">
      <c r="A248" s="155"/>
      <c r="B248" s="156"/>
      <c r="C248" s="157"/>
      <c r="D248" s="157"/>
      <c r="E248" s="158"/>
      <c r="F248" s="159"/>
    </row>
    <row r="249" spans="1:6" x14ac:dyDescent="0.2">
      <c r="A249" s="155"/>
      <c r="B249" s="156"/>
      <c r="C249" s="157"/>
      <c r="D249" s="157"/>
      <c r="E249" s="158"/>
      <c r="F249" s="159"/>
    </row>
    <row r="250" spans="1:6" x14ac:dyDescent="0.2">
      <c r="A250" s="155"/>
      <c r="B250" s="156"/>
      <c r="C250" s="157"/>
      <c r="D250" s="157"/>
      <c r="E250" s="158"/>
      <c r="F250" s="159"/>
    </row>
    <row r="251" spans="1:6" x14ac:dyDescent="0.2">
      <c r="A251" s="155"/>
      <c r="B251" s="156"/>
      <c r="C251" s="157"/>
      <c r="D251" s="157"/>
      <c r="E251" s="158"/>
      <c r="F251" s="159"/>
    </row>
    <row r="252" spans="1:6" x14ac:dyDescent="0.2">
      <c r="A252" s="155"/>
      <c r="B252" s="156"/>
      <c r="C252" s="157"/>
      <c r="D252" s="157"/>
      <c r="E252" s="158"/>
      <c r="F252" s="159"/>
    </row>
    <row r="253" spans="1:6" x14ac:dyDescent="0.2">
      <c r="A253" s="155"/>
      <c r="B253" s="156"/>
      <c r="C253" s="157"/>
      <c r="D253" s="157"/>
      <c r="E253" s="158"/>
      <c r="F253" s="159"/>
    </row>
    <row r="254" spans="1:6" x14ac:dyDescent="0.2">
      <c r="A254" s="155"/>
      <c r="B254" s="156"/>
      <c r="C254" s="157"/>
      <c r="D254" s="157"/>
      <c r="E254" s="158"/>
      <c r="F254" s="159"/>
    </row>
    <row r="255" spans="1:6" x14ac:dyDescent="0.2">
      <c r="A255" s="155"/>
      <c r="B255" s="156"/>
      <c r="C255" s="157"/>
      <c r="D255" s="157"/>
      <c r="E255" s="158"/>
      <c r="F255" s="159"/>
    </row>
    <row r="256" spans="1:6" x14ac:dyDescent="0.2">
      <c r="A256" s="155"/>
      <c r="B256" s="156"/>
      <c r="C256" s="157"/>
      <c r="D256" s="157"/>
      <c r="E256" s="158"/>
      <c r="F256" s="159"/>
    </row>
    <row r="257" spans="1:6" x14ac:dyDescent="0.2">
      <c r="A257" s="155"/>
      <c r="B257" s="156"/>
      <c r="C257" s="157"/>
      <c r="D257" s="157"/>
      <c r="E257" s="158"/>
      <c r="F257" s="159"/>
    </row>
    <row r="258" spans="1:6" x14ac:dyDescent="0.2">
      <c r="A258" s="155"/>
      <c r="B258" s="156"/>
      <c r="C258" s="157"/>
      <c r="D258" s="157"/>
      <c r="E258" s="158"/>
      <c r="F258" s="159"/>
    </row>
    <row r="259" spans="1:6" x14ac:dyDescent="0.2">
      <c r="A259" s="155"/>
      <c r="B259" s="156"/>
      <c r="C259" s="157"/>
      <c r="D259" s="157"/>
      <c r="E259" s="158"/>
      <c r="F259" s="159"/>
    </row>
    <row r="260" spans="1:6" x14ac:dyDescent="0.2">
      <c r="A260" s="155"/>
      <c r="B260" s="156"/>
      <c r="C260" s="157"/>
      <c r="D260" s="157"/>
      <c r="E260" s="158"/>
      <c r="F260" s="159"/>
    </row>
    <row r="261" spans="1:6" x14ac:dyDescent="0.2">
      <c r="A261" s="155"/>
      <c r="B261" s="156"/>
      <c r="C261" s="157"/>
      <c r="D261" s="157"/>
      <c r="E261" s="158"/>
      <c r="F261" s="159"/>
    </row>
    <row r="262" spans="1:6" x14ac:dyDescent="0.2">
      <c r="A262" s="155"/>
      <c r="B262" s="156"/>
      <c r="C262" s="157"/>
      <c r="D262" s="157"/>
      <c r="E262" s="158"/>
      <c r="F262" s="159"/>
    </row>
    <row r="263" spans="1:6" x14ac:dyDescent="0.2">
      <c r="A263" s="155"/>
      <c r="B263" s="156"/>
      <c r="C263" s="157"/>
      <c r="D263" s="157"/>
      <c r="E263" s="158"/>
      <c r="F263" s="159"/>
    </row>
    <row r="264" spans="1:6" x14ac:dyDescent="0.2">
      <c r="A264" s="155"/>
      <c r="B264" s="156"/>
      <c r="C264" s="157"/>
      <c r="D264" s="157"/>
      <c r="E264" s="158"/>
      <c r="F264" s="159"/>
    </row>
    <row r="265" spans="1:6" x14ac:dyDescent="0.2">
      <c r="A265" s="155"/>
      <c r="B265" s="156"/>
      <c r="C265" s="157"/>
      <c r="D265" s="157"/>
      <c r="E265" s="158"/>
      <c r="F265" s="159"/>
    </row>
    <row r="266" spans="1:6" x14ac:dyDescent="0.2">
      <c r="A266" s="155"/>
      <c r="B266" s="156"/>
      <c r="C266" s="157"/>
      <c r="D266" s="157"/>
      <c r="E266" s="158"/>
      <c r="F266" s="159"/>
    </row>
    <row r="267" spans="1:6" x14ac:dyDescent="0.2">
      <c r="A267" s="155"/>
      <c r="B267" s="156"/>
      <c r="C267" s="157"/>
      <c r="D267" s="157"/>
      <c r="E267" s="158"/>
      <c r="F267" s="159"/>
    </row>
    <row r="268" spans="1:6" x14ac:dyDescent="0.2">
      <c r="A268" s="155"/>
      <c r="B268" s="156"/>
      <c r="C268" s="157"/>
      <c r="D268" s="157"/>
      <c r="E268" s="158"/>
      <c r="F268" s="159"/>
    </row>
    <row r="269" spans="1:6" x14ac:dyDescent="0.2">
      <c r="A269" s="155"/>
      <c r="B269" s="156"/>
      <c r="C269" s="157"/>
      <c r="D269" s="157"/>
      <c r="E269" s="158"/>
      <c r="F269" s="159"/>
    </row>
    <row r="270" spans="1:6" x14ac:dyDescent="0.2">
      <c r="A270" s="155"/>
      <c r="B270" s="156"/>
      <c r="C270" s="157"/>
      <c r="D270" s="157"/>
      <c r="E270" s="158"/>
      <c r="F270" s="159"/>
    </row>
    <row r="271" spans="1:6" x14ac:dyDescent="0.2">
      <c r="A271" s="155"/>
      <c r="B271" s="156"/>
      <c r="C271" s="157"/>
      <c r="D271" s="157"/>
      <c r="E271" s="158"/>
      <c r="F271" s="159"/>
    </row>
    <row r="272" spans="1:6" x14ac:dyDescent="0.2">
      <c r="A272" s="155"/>
      <c r="B272" s="156"/>
      <c r="C272" s="157"/>
      <c r="D272" s="157"/>
      <c r="E272" s="158"/>
      <c r="F272" s="159"/>
    </row>
    <row r="273" spans="1:6" x14ac:dyDescent="0.2">
      <c r="A273" s="155"/>
      <c r="B273" s="156"/>
      <c r="C273" s="157"/>
      <c r="D273" s="157"/>
      <c r="E273" s="158"/>
      <c r="F273" s="159"/>
    </row>
    <row r="274" spans="1:6" x14ac:dyDescent="0.2">
      <c r="A274" s="155"/>
      <c r="B274" s="156"/>
      <c r="C274" s="157"/>
      <c r="D274" s="157"/>
      <c r="E274" s="158"/>
      <c r="F274" s="159"/>
    </row>
    <row r="275" spans="1:6" x14ac:dyDescent="0.2">
      <c r="A275" s="155"/>
      <c r="B275" s="156"/>
      <c r="C275" s="157"/>
      <c r="D275" s="157"/>
      <c r="E275" s="158"/>
      <c r="F275" s="159"/>
    </row>
    <row r="276" spans="1:6" x14ac:dyDescent="0.2">
      <c r="A276" s="155"/>
      <c r="B276" s="156"/>
      <c r="C276" s="157"/>
      <c r="D276" s="157"/>
      <c r="E276" s="158"/>
      <c r="F276" s="159"/>
    </row>
    <row r="277" spans="1:6" x14ac:dyDescent="0.2">
      <c r="A277" s="155"/>
      <c r="B277" s="156"/>
      <c r="C277" s="157"/>
      <c r="D277" s="157"/>
      <c r="E277" s="158"/>
      <c r="F277" s="159"/>
    </row>
    <row r="278" spans="1:6" x14ac:dyDescent="0.2">
      <c r="A278" s="155"/>
      <c r="B278" s="156"/>
      <c r="C278" s="157"/>
      <c r="D278" s="157"/>
      <c r="E278" s="158"/>
      <c r="F278" s="159"/>
    </row>
    <row r="279" spans="1:6" x14ac:dyDescent="0.2">
      <c r="A279" s="155"/>
      <c r="B279" s="156"/>
      <c r="C279" s="157"/>
      <c r="D279" s="157"/>
      <c r="E279" s="158"/>
      <c r="F279" s="159"/>
    </row>
    <row r="280" spans="1:6" x14ac:dyDescent="0.2">
      <c r="A280" s="155"/>
      <c r="B280" s="156"/>
      <c r="C280" s="157"/>
      <c r="D280" s="157"/>
      <c r="E280" s="158"/>
      <c r="F280" s="159"/>
    </row>
    <row r="281" spans="1:6" x14ac:dyDescent="0.2">
      <c r="A281" s="155"/>
      <c r="B281" s="156"/>
      <c r="C281" s="157"/>
      <c r="D281" s="157"/>
      <c r="E281" s="158"/>
      <c r="F281" s="159"/>
    </row>
    <row r="282" spans="1:6" x14ac:dyDescent="0.2">
      <c r="A282" s="155"/>
      <c r="B282" s="156"/>
      <c r="C282" s="157"/>
      <c r="D282" s="157"/>
      <c r="E282" s="158"/>
      <c r="F282" s="159"/>
    </row>
    <row r="283" spans="1:6" x14ac:dyDescent="0.2">
      <c r="A283" s="155"/>
      <c r="B283" s="156"/>
      <c r="C283" s="157"/>
      <c r="D283" s="157"/>
      <c r="E283" s="158"/>
      <c r="F283" s="159"/>
    </row>
    <row r="284" spans="1:6" x14ac:dyDescent="0.2">
      <c r="A284" s="155"/>
      <c r="B284" s="156"/>
      <c r="C284" s="157"/>
      <c r="D284" s="157"/>
      <c r="E284" s="158"/>
      <c r="F284" s="159"/>
    </row>
    <row r="285" spans="1:6" x14ac:dyDescent="0.2">
      <c r="A285" s="155"/>
      <c r="B285" s="156"/>
      <c r="C285" s="157"/>
      <c r="D285" s="157"/>
      <c r="E285" s="158"/>
      <c r="F285" s="159"/>
    </row>
    <row r="286" spans="1:6" x14ac:dyDescent="0.2">
      <c r="A286" s="155"/>
      <c r="B286" s="156"/>
      <c r="C286" s="157"/>
      <c r="D286" s="157"/>
      <c r="E286" s="158"/>
      <c r="F286" s="159"/>
    </row>
    <row r="287" spans="1:6" x14ac:dyDescent="0.2">
      <c r="A287" s="155"/>
      <c r="B287" s="156"/>
      <c r="C287" s="157"/>
      <c r="D287" s="157"/>
      <c r="E287" s="158"/>
      <c r="F287" s="159"/>
    </row>
    <row r="288" spans="1:6" x14ac:dyDescent="0.2">
      <c r="A288" s="155"/>
      <c r="B288" s="156"/>
      <c r="C288" s="157"/>
      <c r="D288" s="157"/>
      <c r="E288" s="158"/>
      <c r="F288" s="159"/>
    </row>
    <row r="289" spans="1:6" x14ac:dyDescent="0.2">
      <c r="A289" s="155"/>
      <c r="B289" s="156"/>
      <c r="C289" s="157"/>
      <c r="D289" s="157"/>
      <c r="E289" s="158"/>
      <c r="F289" s="159"/>
    </row>
    <row r="290" spans="1:6" x14ac:dyDescent="0.2">
      <c r="A290" s="155"/>
      <c r="B290" s="156"/>
      <c r="C290" s="157"/>
      <c r="D290" s="157"/>
      <c r="E290" s="158"/>
      <c r="F290" s="159"/>
    </row>
    <row r="291" spans="1:6" x14ac:dyDescent="0.2">
      <c r="A291" s="155"/>
      <c r="B291" s="156"/>
      <c r="C291" s="157"/>
      <c r="D291" s="157"/>
      <c r="E291" s="158"/>
      <c r="F291" s="159"/>
    </row>
    <row r="292" spans="1:6" x14ac:dyDescent="0.2">
      <c r="A292" s="155"/>
      <c r="B292" s="156"/>
      <c r="C292" s="157"/>
      <c r="D292" s="157"/>
      <c r="E292" s="158"/>
      <c r="F292" s="159"/>
    </row>
    <row r="293" spans="1:6" x14ac:dyDescent="0.2">
      <c r="A293" s="155"/>
      <c r="B293" s="156"/>
      <c r="C293" s="157"/>
      <c r="D293" s="157"/>
      <c r="E293" s="158"/>
      <c r="F293" s="159"/>
    </row>
    <row r="294" spans="1:6" x14ac:dyDescent="0.2">
      <c r="A294" s="155"/>
      <c r="B294" s="156"/>
      <c r="C294" s="157"/>
      <c r="D294" s="157"/>
      <c r="E294" s="158"/>
      <c r="F294" s="159"/>
    </row>
    <row r="295" spans="1:6" x14ac:dyDescent="0.2">
      <c r="A295" s="155"/>
      <c r="B295" s="156"/>
      <c r="C295" s="157"/>
      <c r="D295" s="157"/>
      <c r="E295" s="158"/>
      <c r="F295" s="159"/>
    </row>
    <row r="296" spans="1:6" x14ac:dyDescent="0.2">
      <c r="A296" s="155"/>
      <c r="B296" s="156"/>
      <c r="C296" s="157"/>
      <c r="D296" s="157"/>
      <c r="E296" s="158"/>
      <c r="F296" s="159"/>
    </row>
    <row r="297" spans="1:6" x14ac:dyDescent="0.2">
      <c r="A297" s="155"/>
      <c r="B297" s="156"/>
      <c r="C297" s="157"/>
      <c r="D297" s="157"/>
      <c r="E297" s="158"/>
      <c r="F297" s="159"/>
    </row>
    <row r="298" spans="1:6" x14ac:dyDescent="0.2">
      <c r="A298" s="155"/>
      <c r="B298" s="156"/>
      <c r="C298" s="157"/>
      <c r="D298" s="157"/>
      <c r="E298" s="158"/>
      <c r="F298" s="159"/>
    </row>
    <row r="299" spans="1:6" x14ac:dyDescent="0.2">
      <c r="A299" s="155"/>
      <c r="B299" s="156"/>
      <c r="C299" s="157"/>
      <c r="D299" s="157"/>
      <c r="E299" s="158"/>
      <c r="F299" s="159"/>
    </row>
    <row r="300" spans="1:6" x14ac:dyDescent="0.2">
      <c r="A300" s="155"/>
      <c r="B300" s="156"/>
      <c r="C300" s="157"/>
      <c r="D300" s="157"/>
      <c r="E300" s="158"/>
      <c r="F300" s="159"/>
    </row>
    <row r="301" spans="1:6" x14ac:dyDescent="0.2">
      <c r="A301" s="155"/>
      <c r="B301" s="156"/>
      <c r="C301" s="157"/>
      <c r="D301" s="157"/>
      <c r="E301" s="158"/>
      <c r="F301" s="159"/>
    </row>
    <row r="302" spans="1:6" x14ac:dyDescent="0.2">
      <c r="A302" s="155"/>
      <c r="B302" s="156"/>
      <c r="C302" s="157"/>
      <c r="D302" s="157"/>
      <c r="E302" s="158"/>
      <c r="F302" s="159"/>
    </row>
    <row r="303" spans="1:6" x14ac:dyDescent="0.2">
      <c r="A303" s="155"/>
      <c r="B303" s="156"/>
      <c r="C303" s="157"/>
      <c r="D303" s="157"/>
      <c r="E303" s="158"/>
      <c r="F303" s="159"/>
    </row>
    <row r="304" spans="1:6" x14ac:dyDescent="0.2">
      <c r="A304" s="155"/>
      <c r="B304" s="156"/>
      <c r="C304" s="157"/>
      <c r="D304" s="157"/>
      <c r="E304" s="158"/>
      <c r="F304" s="159"/>
    </row>
    <row r="305" spans="1:6" x14ac:dyDescent="0.2">
      <c r="A305" s="155"/>
      <c r="B305" s="156"/>
      <c r="C305" s="157"/>
      <c r="D305" s="157"/>
      <c r="E305" s="158"/>
      <c r="F305" s="159"/>
    </row>
    <row r="306" spans="1:6" x14ac:dyDescent="0.2">
      <c r="A306" s="155"/>
      <c r="B306" s="156"/>
      <c r="C306" s="157"/>
      <c r="D306" s="157"/>
      <c r="E306" s="158"/>
      <c r="F306" s="159"/>
    </row>
    <row r="307" spans="1:6" x14ac:dyDescent="0.2">
      <c r="A307" s="155"/>
      <c r="B307" s="156"/>
      <c r="C307" s="157"/>
      <c r="D307" s="157"/>
      <c r="E307" s="158"/>
      <c r="F307" s="159"/>
    </row>
    <row r="308" spans="1:6" x14ac:dyDescent="0.2">
      <c r="A308" s="155"/>
      <c r="B308" s="156"/>
      <c r="C308" s="157"/>
      <c r="D308" s="157"/>
      <c r="E308" s="158"/>
      <c r="F308" s="159"/>
    </row>
    <row r="309" spans="1:6" x14ac:dyDescent="0.2">
      <c r="A309" s="155"/>
      <c r="B309" s="156"/>
      <c r="C309" s="157"/>
      <c r="D309" s="157"/>
      <c r="E309" s="158"/>
      <c r="F309" s="159"/>
    </row>
    <row r="310" spans="1:6" x14ac:dyDescent="0.2">
      <c r="A310" s="155"/>
      <c r="B310" s="156"/>
      <c r="C310" s="157"/>
      <c r="D310" s="157"/>
      <c r="E310" s="158"/>
      <c r="F310" s="159"/>
    </row>
    <row r="311" spans="1:6" x14ac:dyDescent="0.2">
      <c r="A311" s="155"/>
      <c r="B311" s="156"/>
      <c r="C311" s="157"/>
      <c r="D311" s="157"/>
      <c r="E311" s="158"/>
      <c r="F311" s="159"/>
    </row>
    <row r="312" spans="1:6" x14ac:dyDescent="0.2">
      <c r="A312" s="155"/>
      <c r="B312" s="156"/>
      <c r="C312" s="157"/>
      <c r="D312" s="157"/>
      <c r="E312" s="158"/>
      <c r="F312" s="159"/>
    </row>
    <row r="313" spans="1:6" x14ac:dyDescent="0.2">
      <c r="A313" s="155"/>
      <c r="B313" s="156"/>
      <c r="C313" s="157"/>
      <c r="D313" s="157"/>
      <c r="E313" s="158"/>
      <c r="F313" s="159"/>
    </row>
    <row r="314" spans="1:6" x14ac:dyDescent="0.2">
      <c r="A314" s="155"/>
      <c r="B314" s="156"/>
      <c r="C314" s="157"/>
      <c r="D314" s="157"/>
      <c r="E314" s="158"/>
      <c r="F314" s="159"/>
    </row>
    <row r="315" spans="1:6" x14ac:dyDescent="0.2">
      <c r="A315" s="155"/>
      <c r="B315" s="156"/>
      <c r="C315" s="157"/>
      <c r="D315" s="157"/>
      <c r="E315" s="158"/>
      <c r="F315" s="159"/>
    </row>
    <row r="316" spans="1:6" x14ac:dyDescent="0.2">
      <c r="A316" s="155"/>
      <c r="B316" s="156"/>
      <c r="C316" s="157"/>
      <c r="D316" s="157"/>
      <c r="E316" s="158"/>
      <c r="F316" s="159"/>
    </row>
    <row r="317" spans="1:6" x14ac:dyDescent="0.2">
      <c r="A317" s="155"/>
      <c r="B317" s="156"/>
      <c r="C317" s="157"/>
      <c r="D317" s="157"/>
      <c r="E317" s="158"/>
      <c r="F317" s="159"/>
    </row>
    <row r="318" spans="1:6" x14ac:dyDescent="0.2">
      <c r="A318" s="155"/>
      <c r="B318" s="156"/>
      <c r="C318" s="157"/>
      <c r="D318" s="157"/>
      <c r="E318" s="158"/>
      <c r="F318" s="159"/>
    </row>
    <row r="319" spans="1:6" x14ac:dyDescent="0.2">
      <c r="A319" s="155"/>
      <c r="B319" s="156"/>
      <c r="C319" s="157"/>
      <c r="D319" s="157"/>
      <c r="E319" s="158"/>
      <c r="F319" s="159"/>
    </row>
    <row r="320" spans="1:6" x14ac:dyDescent="0.2">
      <c r="A320" s="155"/>
      <c r="B320" s="156"/>
      <c r="C320" s="157"/>
      <c r="D320" s="157"/>
      <c r="E320" s="158"/>
      <c r="F320" s="159"/>
    </row>
    <row r="321" spans="1:6" x14ac:dyDescent="0.2">
      <c r="A321" s="155"/>
      <c r="B321" s="156"/>
      <c r="C321" s="157"/>
      <c r="D321" s="157"/>
      <c r="E321" s="158"/>
      <c r="F321" s="159"/>
    </row>
    <row r="322" spans="1:6" x14ac:dyDescent="0.2">
      <c r="A322" s="155"/>
      <c r="B322" s="156"/>
      <c r="C322" s="157"/>
      <c r="D322" s="157"/>
      <c r="E322" s="158"/>
      <c r="F322" s="159"/>
    </row>
    <row r="323" spans="1:6" x14ac:dyDescent="0.2">
      <c r="A323" s="155"/>
      <c r="B323" s="156"/>
      <c r="C323" s="157"/>
      <c r="D323" s="157"/>
      <c r="E323" s="158"/>
      <c r="F323" s="159"/>
    </row>
    <row r="324" spans="1:6" x14ac:dyDescent="0.2">
      <c r="A324" s="155"/>
      <c r="B324" s="156"/>
      <c r="C324" s="157"/>
      <c r="D324" s="157"/>
      <c r="E324" s="158"/>
      <c r="F324" s="159"/>
    </row>
    <row r="325" spans="1:6" x14ac:dyDescent="0.2">
      <c r="A325" s="155"/>
      <c r="B325" s="156"/>
      <c r="C325" s="157"/>
      <c r="D325" s="157"/>
      <c r="E325" s="158"/>
      <c r="F325" s="159"/>
    </row>
    <row r="326" spans="1:6" x14ac:dyDescent="0.2">
      <c r="A326" s="155"/>
      <c r="B326" s="156"/>
      <c r="C326" s="157"/>
      <c r="D326" s="157"/>
      <c r="E326" s="158"/>
      <c r="F326" s="159"/>
    </row>
    <row r="327" spans="1:6" x14ac:dyDescent="0.2">
      <c r="A327" s="155"/>
      <c r="B327" s="156"/>
      <c r="C327" s="157"/>
      <c r="D327" s="157"/>
      <c r="E327" s="158"/>
      <c r="F327" s="159"/>
    </row>
    <row r="328" spans="1:6" x14ac:dyDescent="0.2">
      <c r="A328" s="155"/>
      <c r="B328" s="156"/>
      <c r="C328" s="157"/>
      <c r="D328" s="157"/>
      <c r="E328" s="158"/>
      <c r="F328" s="159"/>
    </row>
    <row r="329" spans="1:6" x14ac:dyDescent="0.2">
      <c r="A329" s="155"/>
      <c r="B329" s="156"/>
      <c r="C329" s="157"/>
      <c r="D329" s="157"/>
      <c r="E329" s="158"/>
      <c r="F329" s="159"/>
    </row>
    <row r="330" spans="1:6" x14ac:dyDescent="0.2">
      <c r="A330" s="155"/>
      <c r="B330" s="156"/>
      <c r="C330" s="157"/>
      <c r="D330" s="157"/>
      <c r="E330" s="158"/>
      <c r="F330" s="159"/>
    </row>
    <row r="331" spans="1:6" x14ac:dyDescent="0.2">
      <c r="A331" s="155"/>
      <c r="B331" s="156"/>
      <c r="C331" s="157"/>
      <c r="D331" s="157"/>
      <c r="E331" s="158"/>
      <c r="F331" s="159"/>
    </row>
    <row r="332" spans="1:6" x14ac:dyDescent="0.2">
      <c r="A332" s="155"/>
      <c r="B332" s="156"/>
      <c r="C332" s="157"/>
      <c r="D332" s="157"/>
      <c r="E332" s="158"/>
      <c r="F332" s="159"/>
    </row>
    <row r="333" spans="1:6" x14ac:dyDescent="0.2">
      <c r="A333" s="155"/>
      <c r="B333" s="156"/>
      <c r="C333" s="157"/>
      <c r="D333" s="157"/>
      <c r="E333" s="158"/>
      <c r="F333" s="159"/>
    </row>
    <row r="334" spans="1:6" x14ac:dyDescent="0.2">
      <c r="A334" s="155"/>
      <c r="B334" s="156"/>
      <c r="C334" s="157"/>
      <c r="D334" s="157"/>
      <c r="E334" s="158"/>
      <c r="F334" s="159"/>
    </row>
    <row r="335" spans="1:6" x14ac:dyDescent="0.2">
      <c r="A335" s="155"/>
      <c r="B335" s="156"/>
      <c r="C335" s="157"/>
      <c r="D335" s="157"/>
      <c r="E335" s="158"/>
      <c r="F335" s="159"/>
    </row>
    <row r="336" spans="1:6" x14ac:dyDescent="0.2">
      <c r="A336" s="155"/>
      <c r="B336" s="156"/>
      <c r="C336" s="157"/>
      <c r="D336" s="157"/>
      <c r="E336" s="158"/>
      <c r="F336" s="159"/>
    </row>
    <row r="337" spans="1:6" x14ac:dyDescent="0.2">
      <c r="A337" s="155"/>
      <c r="B337" s="156"/>
      <c r="C337" s="157"/>
      <c r="D337" s="157"/>
      <c r="E337" s="158"/>
      <c r="F337" s="159"/>
    </row>
    <row r="338" spans="1:6" x14ac:dyDescent="0.2">
      <c r="A338" s="155"/>
      <c r="B338" s="156"/>
      <c r="C338" s="157"/>
      <c r="D338" s="157"/>
      <c r="E338" s="158"/>
      <c r="F338" s="159"/>
    </row>
    <row r="339" spans="1:6" x14ac:dyDescent="0.2">
      <c r="A339" s="155"/>
      <c r="B339" s="156"/>
      <c r="C339" s="157"/>
      <c r="D339" s="157"/>
      <c r="E339" s="158"/>
      <c r="F339" s="159"/>
    </row>
    <row r="340" spans="1:6" x14ac:dyDescent="0.2">
      <c r="A340" s="155"/>
      <c r="B340" s="156"/>
      <c r="C340" s="157"/>
      <c r="D340" s="157"/>
      <c r="E340" s="158"/>
      <c r="F340" s="159"/>
    </row>
    <row r="341" spans="1:6" x14ac:dyDescent="0.2">
      <c r="A341" s="155"/>
      <c r="B341" s="156"/>
      <c r="C341" s="157"/>
      <c r="D341" s="157"/>
      <c r="E341" s="158"/>
      <c r="F341" s="159"/>
    </row>
    <row r="342" spans="1:6" x14ac:dyDescent="0.2">
      <c r="A342" s="155"/>
      <c r="B342" s="156"/>
      <c r="C342" s="157"/>
      <c r="D342" s="157"/>
      <c r="E342" s="158"/>
      <c r="F342" s="159"/>
    </row>
    <row r="343" spans="1:6" x14ac:dyDescent="0.2">
      <c r="A343" s="155"/>
      <c r="B343" s="156"/>
      <c r="C343" s="157"/>
      <c r="D343" s="157"/>
      <c r="E343" s="158"/>
      <c r="F343" s="159"/>
    </row>
    <row r="344" spans="1:6" x14ac:dyDescent="0.2">
      <c r="A344" s="155"/>
      <c r="B344" s="156"/>
      <c r="C344" s="157"/>
      <c r="D344" s="157"/>
      <c r="E344" s="158"/>
      <c r="F344" s="159"/>
    </row>
    <row r="345" spans="1:6" x14ac:dyDescent="0.2">
      <c r="A345" s="155"/>
      <c r="B345" s="156"/>
      <c r="C345" s="157"/>
      <c r="D345" s="157"/>
      <c r="E345" s="158"/>
      <c r="F345" s="159"/>
    </row>
    <row r="346" spans="1:6" x14ac:dyDescent="0.2">
      <c r="A346" s="155"/>
      <c r="B346" s="156"/>
      <c r="C346" s="157"/>
      <c r="D346" s="157"/>
      <c r="E346" s="158"/>
      <c r="F346" s="159"/>
    </row>
    <row r="347" spans="1:6" x14ac:dyDescent="0.2">
      <c r="A347" s="155"/>
      <c r="B347" s="156"/>
      <c r="C347" s="157"/>
      <c r="D347" s="157"/>
      <c r="E347" s="158"/>
      <c r="F347" s="159"/>
    </row>
    <row r="348" spans="1:6" x14ac:dyDescent="0.2">
      <c r="A348" s="155"/>
      <c r="B348" s="156"/>
      <c r="C348" s="157"/>
      <c r="D348" s="157"/>
      <c r="E348" s="158"/>
      <c r="F348" s="159"/>
    </row>
    <row r="349" spans="1:6" x14ac:dyDescent="0.2">
      <c r="A349" s="155"/>
      <c r="B349" s="156"/>
      <c r="C349" s="157"/>
      <c r="D349" s="157"/>
      <c r="E349" s="158"/>
      <c r="F349" s="159"/>
    </row>
    <row r="350" spans="1:6" x14ac:dyDescent="0.2">
      <c r="A350" s="155"/>
      <c r="B350" s="156"/>
      <c r="C350" s="157"/>
      <c r="D350" s="157"/>
      <c r="E350" s="158"/>
      <c r="F350" s="159"/>
    </row>
    <row r="351" spans="1:6" x14ac:dyDescent="0.2">
      <c r="A351" s="155"/>
      <c r="B351" s="156"/>
      <c r="C351" s="157"/>
      <c r="D351" s="157"/>
      <c r="E351" s="158"/>
      <c r="F351" s="159"/>
    </row>
    <row r="352" spans="1:6" x14ac:dyDescent="0.2">
      <c r="A352" s="155"/>
      <c r="B352" s="156"/>
      <c r="C352" s="157"/>
      <c r="D352" s="157"/>
      <c r="E352" s="158"/>
      <c r="F352" s="159"/>
    </row>
    <row r="353" spans="1:6" x14ac:dyDescent="0.2">
      <c r="A353" s="155"/>
      <c r="B353" s="156"/>
      <c r="C353" s="157"/>
      <c r="D353" s="157"/>
      <c r="E353" s="158"/>
      <c r="F353" s="159"/>
    </row>
    <row r="354" spans="1:6" x14ac:dyDescent="0.2">
      <c r="A354" s="155"/>
      <c r="B354" s="156"/>
      <c r="C354" s="157"/>
      <c r="D354" s="157"/>
      <c r="E354" s="158"/>
      <c r="F354" s="159"/>
    </row>
    <row r="355" spans="1:6" x14ac:dyDescent="0.2">
      <c r="A355" s="155"/>
      <c r="B355" s="156"/>
      <c r="C355" s="157"/>
      <c r="D355" s="157"/>
      <c r="E355" s="158"/>
      <c r="F355" s="159"/>
    </row>
    <row r="356" spans="1:6" x14ac:dyDescent="0.2">
      <c r="A356" s="155"/>
      <c r="B356" s="156"/>
      <c r="C356" s="157"/>
      <c r="D356" s="157"/>
      <c r="E356" s="158"/>
      <c r="F356" s="159"/>
    </row>
    <row r="357" spans="1:6" x14ac:dyDescent="0.2">
      <c r="A357" s="155"/>
      <c r="B357" s="156"/>
      <c r="C357" s="157"/>
      <c r="D357" s="157"/>
      <c r="E357" s="158"/>
      <c r="F357" s="159"/>
    </row>
    <row r="358" spans="1:6" x14ac:dyDescent="0.2">
      <c r="A358" s="155"/>
      <c r="B358" s="156"/>
      <c r="C358" s="157"/>
      <c r="D358" s="157"/>
      <c r="E358" s="158"/>
      <c r="F358" s="159"/>
    </row>
    <row r="359" spans="1:6" x14ac:dyDescent="0.2">
      <c r="A359" s="155"/>
      <c r="B359" s="156"/>
      <c r="C359" s="157"/>
      <c r="D359" s="157"/>
      <c r="E359" s="158"/>
      <c r="F359" s="159"/>
    </row>
    <row r="360" spans="1:6" x14ac:dyDescent="0.2">
      <c r="A360" s="155"/>
      <c r="B360" s="156"/>
      <c r="C360" s="157"/>
      <c r="D360" s="157"/>
      <c r="E360" s="158"/>
      <c r="F360" s="159"/>
    </row>
    <row r="361" spans="1:6" x14ac:dyDescent="0.2">
      <c r="A361" s="155"/>
      <c r="B361" s="156"/>
      <c r="C361" s="157"/>
      <c r="D361" s="157"/>
      <c r="E361" s="158"/>
      <c r="F361" s="159"/>
    </row>
    <row r="362" spans="1:6" x14ac:dyDescent="0.2">
      <c r="A362" s="155"/>
      <c r="B362" s="156"/>
      <c r="C362" s="157"/>
      <c r="D362" s="157"/>
      <c r="E362" s="158"/>
      <c r="F362" s="159"/>
    </row>
    <row r="363" spans="1:6" x14ac:dyDescent="0.2">
      <c r="A363" s="155"/>
      <c r="B363" s="156"/>
      <c r="C363" s="157"/>
      <c r="D363" s="157"/>
      <c r="E363" s="158"/>
      <c r="F363" s="159"/>
    </row>
    <row r="364" spans="1:6" x14ac:dyDescent="0.2">
      <c r="A364" s="155"/>
      <c r="B364" s="156"/>
      <c r="C364" s="157"/>
      <c r="D364" s="157"/>
      <c r="E364" s="158"/>
      <c r="F364" s="159"/>
    </row>
    <row r="365" spans="1:6" x14ac:dyDescent="0.2">
      <c r="A365" s="155"/>
      <c r="B365" s="156"/>
      <c r="C365" s="157"/>
      <c r="D365" s="157"/>
      <c r="E365" s="158"/>
      <c r="F365" s="159"/>
    </row>
    <row r="366" spans="1:6" x14ac:dyDescent="0.2">
      <c r="A366" s="155"/>
      <c r="B366" s="156"/>
      <c r="C366" s="157"/>
      <c r="D366" s="157"/>
      <c r="E366" s="158"/>
      <c r="F366" s="159"/>
    </row>
    <row r="367" spans="1:6" x14ac:dyDescent="0.2">
      <c r="A367" s="155"/>
      <c r="B367" s="156"/>
      <c r="C367" s="157"/>
      <c r="D367" s="157"/>
      <c r="E367" s="158"/>
      <c r="F367" s="159"/>
    </row>
    <row r="368" spans="1:6" x14ac:dyDescent="0.2">
      <c r="A368" s="155"/>
      <c r="B368" s="156"/>
      <c r="C368" s="157"/>
      <c r="D368" s="157"/>
      <c r="E368" s="158"/>
      <c r="F368" s="159"/>
    </row>
    <row r="369" spans="1:6" x14ac:dyDescent="0.2">
      <c r="A369" s="155"/>
      <c r="B369" s="156"/>
      <c r="C369" s="157"/>
      <c r="D369" s="157"/>
      <c r="E369" s="158"/>
      <c r="F369" s="159"/>
    </row>
    <row r="370" spans="1:6" x14ac:dyDescent="0.2">
      <c r="A370" s="155"/>
      <c r="B370" s="156"/>
      <c r="C370" s="157"/>
      <c r="D370" s="157"/>
      <c r="E370" s="158"/>
      <c r="F370" s="159"/>
    </row>
    <row r="371" spans="1:6" x14ac:dyDescent="0.2">
      <c r="A371" s="155"/>
      <c r="B371" s="156"/>
      <c r="C371" s="157"/>
      <c r="D371" s="157"/>
      <c r="E371" s="158"/>
      <c r="F371" s="159"/>
    </row>
    <row r="372" spans="1:6" x14ac:dyDescent="0.2">
      <c r="A372" s="155"/>
      <c r="B372" s="156"/>
      <c r="C372" s="157"/>
      <c r="D372" s="157"/>
      <c r="E372" s="158"/>
      <c r="F372" s="159"/>
    </row>
    <row r="373" spans="1:6" x14ac:dyDescent="0.2">
      <c r="A373" s="155"/>
      <c r="B373" s="156"/>
      <c r="C373" s="157"/>
      <c r="D373" s="157"/>
      <c r="E373" s="158"/>
      <c r="F373" s="159"/>
    </row>
    <row r="374" spans="1:6" x14ac:dyDescent="0.2">
      <c r="A374" s="155"/>
      <c r="B374" s="156"/>
      <c r="C374" s="157"/>
      <c r="D374" s="157"/>
      <c r="E374" s="158"/>
      <c r="F374" s="159"/>
    </row>
    <row r="375" spans="1:6" x14ac:dyDescent="0.2">
      <c r="A375" s="155"/>
      <c r="B375" s="156"/>
      <c r="C375" s="157"/>
      <c r="D375" s="157"/>
      <c r="E375" s="158"/>
      <c r="F375" s="159"/>
    </row>
    <row r="376" spans="1:6" x14ac:dyDescent="0.2">
      <c r="A376" s="155"/>
      <c r="B376" s="156"/>
      <c r="C376" s="157"/>
      <c r="D376" s="157"/>
      <c r="E376" s="158"/>
      <c r="F376" s="159"/>
    </row>
    <row r="377" spans="1:6" x14ac:dyDescent="0.2">
      <c r="A377" s="155"/>
      <c r="B377" s="156"/>
      <c r="C377" s="157"/>
      <c r="D377" s="157"/>
      <c r="E377" s="158"/>
      <c r="F377" s="159"/>
    </row>
    <row r="378" spans="1:6" x14ac:dyDescent="0.2">
      <c r="A378" s="155"/>
      <c r="B378" s="156"/>
      <c r="C378" s="157"/>
      <c r="D378" s="157"/>
      <c r="E378" s="158"/>
      <c r="F378" s="159"/>
    </row>
    <row r="379" spans="1:6" x14ac:dyDescent="0.2">
      <c r="A379" s="155"/>
      <c r="B379" s="156"/>
      <c r="C379" s="157"/>
      <c r="D379" s="157"/>
      <c r="E379" s="158"/>
      <c r="F379" s="159"/>
    </row>
    <row r="380" spans="1:6" x14ac:dyDescent="0.2">
      <c r="A380" s="155"/>
      <c r="B380" s="156"/>
      <c r="C380" s="157"/>
      <c r="D380" s="157"/>
      <c r="E380" s="158"/>
      <c r="F380" s="159"/>
    </row>
    <row r="381" spans="1:6" x14ac:dyDescent="0.2">
      <c r="A381" s="155"/>
      <c r="B381" s="156"/>
      <c r="C381" s="157"/>
      <c r="D381" s="157"/>
      <c r="E381" s="158"/>
      <c r="F381" s="159"/>
    </row>
    <row r="382" spans="1:6" x14ac:dyDescent="0.2">
      <c r="A382" s="155"/>
      <c r="B382" s="156"/>
      <c r="C382" s="157"/>
      <c r="D382" s="157"/>
      <c r="E382" s="158"/>
      <c r="F382" s="159"/>
    </row>
    <row r="383" spans="1:6" x14ac:dyDescent="0.2">
      <c r="A383" s="155"/>
      <c r="B383" s="156"/>
      <c r="C383" s="157"/>
      <c r="D383" s="157"/>
      <c r="E383" s="158"/>
      <c r="F383" s="159"/>
    </row>
    <row r="384" spans="1:6" x14ac:dyDescent="0.2">
      <c r="A384" s="155"/>
      <c r="B384" s="156"/>
      <c r="C384" s="157"/>
      <c r="D384" s="157"/>
      <c r="E384" s="158"/>
      <c r="F384" s="159"/>
    </row>
    <row r="385" spans="1:6" x14ac:dyDescent="0.2">
      <c r="A385" s="155"/>
      <c r="B385" s="156"/>
      <c r="C385" s="157"/>
      <c r="D385" s="157"/>
      <c r="E385" s="158"/>
      <c r="F385" s="159"/>
    </row>
    <row r="386" spans="1:6" x14ac:dyDescent="0.2">
      <c r="A386" s="155"/>
      <c r="B386" s="156"/>
      <c r="C386" s="157"/>
      <c r="D386" s="157"/>
      <c r="E386" s="158"/>
      <c r="F386" s="159"/>
    </row>
    <row r="387" spans="1:6" x14ac:dyDescent="0.2">
      <c r="A387" s="155"/>
      <c r="B387" s="156"/>
      <c r="C387" s="157"/>
      <c r="D387" s="157"/>
      <c r="E387" s="158"/>
      <c r="F387" s="159"/>
    </row>
    <row r="388" spans="1:6" x14ac:dyDescent="0.2">
      <c r="A388" s="155"/>
      <c r="B388" s="156"/>
      <c r="C388" s="157"/>
      <c r="D388" s="157"/>
      <c r="E388" s="158"/>
      <c r="F388" s="159"/>
    </row>
    <row r="389" spans="1:6" x14ac:dyDescent="0.2">
      <c r="A389" s="155"/>
      <c r="B389" s="156"/>
      <c r="C389" s="157"/>
      <c r="D389" s="157"/>
      <c r="E389" s="158"/>
      <c r="F389" s="159"/>
    </row>
    <row r="390" spans="1:6" x14ac:dyDescent="0.2">
      <c r="A390" s="155"/>
      <c r="B390" s="156"/>
      <c r="C390" s="157"/>
      <c r="D390" s="157"/>
      <c r="E390" s="158"/>
      <c r="F390" s="159"/>
    </row>
    <row r="391" spans="1:6" x14ac:dyDescent="0.2">
      <c r="A391" s="155"/>
      <c r="B391" s="156"/>
      <c r="C391" s="157"/>
      <c r="D391" s="157"/>
      <c r="E391" s="158"/>
      <c r="F391" s="159"/>
    </row>
    <row r="392" spans="1:6" x14ac:dyDescent="0.2">
      <c r="A392" s="155"/>
      <c r="B392" s="156"/>
      <c r="C392" s="157"/>
      <c r="D392" s="157"/>
      <c r="E392" s="158"/>
      <c r="F392" s="159"/>
    </row>
    <row r="393" spans="1:6" x14ac:dyDescent="0.2">
      <c r="A393" s="155"/>
      <c r="B393" s="156"/>
      <c r="C393" s="157"/>
      <c r="D393" s="157"/>
      <c r="E393" s="158"/>
      <c r="F393" s="159"/>
    </row>
    <row r="394" spans="1:6" x14ac:dyDescent="0.2">
      <c r="A394" s="155"/>
      <c r="B394" s="156"/>
      <c r="C394" s="157"/>
      <c r="D394" s="157"/>
      <c r="E394" s="158"/>
      <c r="F394" s="159"/>
    </row>
    <row r="395" spans="1:6" x14ac:dyDescent="0.2">
      <c r="A395" s="155"/>
      <c r="B395" s="156"/>
      <c r="C395" s="157"/>
      <c r="D395" s="157"/>
      <c r="E395" s="158"/>
      <c r="F395" s="159"/>
    </row>
    <row r="396" spans="1:6" x14ac:dyDescent="0.2">
      <c r="A396" s="155"/>
      <c r="B396" s="156"/>
      <c r="C396" s="157"/>
      <c r="D396" s="157"/>
      <c r="E396" s="158"/>
      <c r="F396" s="159"/>
    </row>
    <row r="397" spans="1:6" x14ac:dyDescent="0.2">
      <c r="A397" s="155"/>
      <c r="B397" s="156"/>
      <c r="C397" s="157"/>
      <c r="D397" s="157"/>
      <c r="E397" s="158"/>
      <c r="F397" s="159"/>
    </row>
    <row r="398" spans="1:6" x14ac:dyDescent="0.2">
      <c r="A398" s="155"/>
      <c r="B398" s="156"/>
      <c r="C398" s="157"/>
      <c r="D398" s="157"/>
      <c r="E398" s="158"/>
      <c r="F398" s="159"/>
    </row>
    <row r="399" spans="1:6" x14ac:dyDescent="0.2">
      <c r="A399" s="155"/>
      <c r="B399" s="156"/>
      <c r="C399" s="157"/>
      <c r="D399" s="157"/>
      <c r="E399" s="158"/>
      <c r="F399" s="159"/>
    </row>
    <row r="400" spans="1:6" x14ac:dyDescent="0.2">
      <c r="A400" s="155"/>
      <c r="B400" s="156"/>
      <c r="C400" s="157"/>
      <c r="D400" s="157"/>
      <c r="E400" s="158"/>
      <c r="F400" s="159"/>
    </row>
    <row r="401" spans="1:6" x14ac:dyDescent="0.2">
      <c r="A401" s="155"/>
      <c r="B401" s="156"/>
      <c r="C401" s="157"/>
      <c r="D401" s="157"/>
      <c r="E401" s="158"/>
      <c r="F401" s="159"/>
    </row>
    <row r="402" spans="1:6" x14ac:dyDescent="0.2">
      <c r="A402" s="155"/>
      <c r="B402" s="156"/>
      <c r="C402" s="157"/>
      <c r="D402" s="157"/>
      <c r="E402" s="158"/>
      <c r="F402" s="159"/>
    </row>
    <row r="403" spans="1:6" x14ac:dyDescent="0.2">
      <c r="A403" s="155"/>
      <c r="B403" s="156"/>
      <c r="C403" s="157"/>
      <c r="D403" s="157"/>
      <c r="E403" s="158"/>
      <c r="F403" s="159"/>
    </row>
    <row r="404" spans="1:6" x14ac:dyDescent="0.2">
      <c r="A404" s="155"/>
      <c r="B404" s="156"/>
      <c r="C404" s="157"/>
      <c r="D404" s="157"/>
      <c r="E404" s="158"/>
      <c r="F404" s="159"/>
    </row>
    <row r="405" spans="1:6" x14ac:dyDescent="0.2">
      <c r="A405" s="155"/>
      <c r="B405" s="156"/>
      <c r="C405" s="157"/>
      <c r="D405" s="157"/>
      <c r="E405" s="158"/>
      <c r="F405" s="159"/>
    </row>
    <row r="406" spans="1:6" x14ac:dyDescent="0.2">
      <c r="A406" s="155"/>
      <c r="B406" s="156"/>
      <c r="C406" s="157"/>
      <c r="D406" s="157"/>
      <c r="E406" s="158"/>
      <c r="F406" s="159"/>
    </row>
    <row r="407" spans="1:6" x14ac:dyDescent="0.2">
      <c r="A407" s="155"/>
      <c r="B407" s="156"/>
      <c r="C407" s="157"/>
      <c r="D407" s="157"/>
      <c r="E407" s="158"/>
      <c r="F407" s="159"/>
    </row>
    <row r="408" spans="1:6" x14ac:dyDescent="0.2">
      <c r="A408" s="155"/>
      <c r="B408" s="156"/>
      <c r="C408" s="157"/>
      <c r="D408" s="157"/>
      <c r="E408" s="158"/>
      <c r="F408" s="159"/>
    </row>
    <row r="409" spans="1:6" x14ac:dyDescent="0.2">
      <c r="A409" s="155"/>
      <c r="B409" s="156"/>
      <c r="C409" s="157"/>
      <c r="D409" s="157"/>
      <c r="E409" s="158"/>
      <c r="F409" s="159"/>
    </row>
    <row r="410" spans="1:6" x14ac:dyDescent="0.2">
      <c r="A410" s="155"/>
      <c r="B410" s="156"/>
      <c r="C410" s="157"/>
      <c r="D410" s="157"/>
      <c r="E410" s="158"/>
      <c r="F410" s="159"/>
    </row>
    <row r="411" spans="1:6" x14ac:dyDescent="0.2">
      <c r="A411" s="155"/>
      <c r="B411" s="156"/>
      <c r="C411" s="157"/>
      <c r="D411" s="157"/>
      <c r="E411" s="158"/>
      <c r="F411" s="159"/>
    </row>
    <row r="412" spans="1:6" x14ac:dyDescent="0.2">
      <c r="A412" s="155"/>
      <c r="B412" s="156"/>
      <c r="C412" s="157"/>
      <c r="D412" s="157"/>
      <c r="E412" s="158"/>
      <c r="F412" s="159"/>
    </row>
    <row r="413" spans="1:6" x14ac:dyDescent="0.2">
      <c r="A413" s="155"/>
      <c r="B413" s="156"/>
      <c r="C413" s="157"/>
      <c r="D413" s="157"/>
      <c r="E413" s="158"/>
      <c r="F413" s="159"/>
    </row>
    <row r="414" spans="1:6" x14ac:dyDescent="0.2">
      <c r="A414" s="155"/>
      <c r="B414" s="156"/>
      <c r="C414" s="157"/>
      <c r="D414" s="157"/>
      <c r="E414" s="158"/>
      <c r="F414" s="159"/>
    </row>
    <row r="415" spans="1:6" x14ac:dyDescent="0.2">
      <c r="A415" s="155"/>
      <c r="B415" s="156"/>
      <c r="C415" s="157"/>
      <c r="D415" s="157"/>
      <c r="E415" s="158"/>
      <c r="F415" s="159"/>
    </row>
    <row r="416" spans="1:6" x14ac:dyDescent="0.2">
      <c r="A416" s="155"/>
      <c r="B416" s="156"/>
      <c r="C416" s="157"/>
      <c r="D416" s="157"/>
      <c r="E416" s="158"/>
      <c r="F416" s="159"/>
    </row>
    <row r="417" spans="1:6" x14ac:dyDescent="0.2">
      <c r="A417" s="155"/>
      <c r="B417" s="156"/>
      <c r="C417" s="157"/>
      <c r="D417" s="157"/>
      <c r="E417" s="158"/>
      <c r="F417" s="159"/>
    </row>
    <row r="418" spans="1:6" x14ac:dyDescent="0.2">
      <c r="A418" s="155"/>
      <c r="B418" s="156"/>
      <c r="C418" s="157"/>
      <c r="D418" s="157"/>
      <c r="E418" s="158"/>
      <c r="F418" s="159"/>
    </row>
    <row r="419" spans="1:6" x14ac:dyDescent="0.2">
      <c r="A419" s="155"/>
      <c r="B419" s="156"/>
      <c r="C419" s="157"/>
      <c r="D419" s="157"/>
      <c r="E419" s="158"/>
      <c r="F419" s="159"/>
    </row>
    <row r="420" spans="1:6" x14ac:dyDescent="0.2">
      <c r="A420" s="155"/>
      <c r="B420" s="156"/>
      <c r="C420" s="157"/>
      <c r="D420" s="157"/>
      <c r="E420" s="158"/>
      <c r="F420" s="159"/>
    </row>
    <row r="421" spans="1:6" x14ac:dyDescent="0.2">
      <c r="A421" s="155"/>
      <c r="B421" s="156"/>
      <c r="C421" s="157"/>
      <c r="D421" s="157"/>
      <c r="E421" s="158"/>
      <c r="F421" s="159"/>
    </row>
    <row r="422" spans="1:6" x14ac:dyDescent="0.2">
      <c r="A422" s="155"/>
      <c r="B422" s="156"/>
      <c r="C422" s="157"/>
      <c r="D422" s="157"/>
      <c r="E422" s="158"/>
      <c r="F422" s="159"/>
    </row>
    <row r="423" spans="1:6" x14ac:dyDescent="0.2">
      <c r="A423" s="155"/>
      <c r="B423" s="156"/>
      <c r="C423" s="157"/>
      <c r="D423" s="157"/>
      <c r="E423" s="158"/>
      <c r="F423" s="159"/>
    </row>
    <row r="424" spans="1:6" x14ac:dyDescent="0.2">
      <c r="A424" s="155"/>
      <c r="B424" s="156"/>
      <c r="C424" s="157"/>
      <c r="D424" s="157"/>
      <c r="E424" s="158"/>
      <c r="F424" s="159"/>
    </row>
    <row r="425" spans="1:6" x14ac:dyDescent="0.2">
      <c r="A425" s="155"/>
      <c r="B425" s="156"/>
      <c r="C425" s="157"/>
      <c r="D425" s="157"/>
      <c r="E425" s="158"/>
      <c r="F425" s="159"/>
    </row>
    <row r="426" spans="1:6" x14ac:dyDescent="0.2">
      <c r="A426" s="155"/>
      <c r="B426" s="156"/>
      <c r="C426" s="157"/>
      <c r="D426" s="157"/>
      <c r="E426" s="158"/>
      <c r="F426" s="159"/>
    </row>
    <row r="427" spans="1:6" x14ac:dyDescent="0.2">
      <c r="A427" s="155"/>
      <c r="B427" s="156"/>
      <c r="C427" s="157"/>
      <c r="D427" s="157"/>
      <c r="E427" s="158"/>
      <c r="F427" s="159"/>
    </row>
    <row r="428" spans="1:6" x14ac:dyDescent="0.2">
      <c r="A428" s="155"/>
      <c r="B428" s="156"/>
      <c r="C428" s="157"/>
      <c r="D428" s="157"/>
      <c r="E428" s="158"/>
      <c r="F428" s="159"/>
    </row>
    <row r="429" spans="1:6" x14ac:dyDescent="0.2">
      <c r="A429" s="155"/>
      <c r="B429" s="156"/>
      <c r="C429" s="157"/>
      <c r="D429" s="157"/>
      <c r="E429" s="158"/>
      <c r="F429" s="159"/>
    </row>
    <row r="430" spans="1:6" x14ac:dyDescent="0.2">
      <c r="A430" s="155"/>
      <c r="B430" s="156"/>
      <c r="C430" s="157"/>
      <c r="D430" s="157"/>
      <c r="E430" s="158"/>
      <c r="F430" s="159"/>
    </row>
    <row r="431" spans="1:6" x14ac:dyDescent="0.2">
      <c r="A431" s="155"/>
      <c r="B431" s="156"/>
      <c r="C431" s="157"/>
      <c r="D431" s="157"/>
      <c r="E431" s="158"/>
      <c r="F431" s="159"/>
    </row>
    <row r="432" spans="1:6" x14ac:dyDescent="0.2">
      <c r="A432" s="155"/>
      <c r="B432" s="156"/>
      <c r="C432" s="157"/>
      <c r="D432" s="157"/>
      <c r="E432" s="158"/>
      <c r="F432" s="159"/>
    </row>
    <row r="433" spans="1:6" x14ac:dyDescent="0.2">
      <c r="A433" s="155"/>
      <c r="B433" s="156"/>
      <c r="C433" s="157"/>
      <c r="D433" s="157"/>
      <c r="E433" s="158"/>
      <c r="F433" s="159"/>
    </row>
    <row r="434" spans="1:6" x14ac:dyDescent="0.2">
      <c r="A434" s="155"/>
      <c r="B434" s="156"/>
      <c r="C434" s="157"/>
      <c r="D434" s="157"/>
      <c r="E434" s="158"/>
      <c r="F434" s="159"/>
    </row>
    <row r="435" spans="1:6" x14ac:dyDescent="0.2">
      <c r="A435" s="155"/>
      <c r="B435" s="156"/>
      <c r="C435" s="157"/>
      <c r="D435" s="157"/>
      <c r="E435" s="158"/>
      <c r="F435" s="159"/>
    </row>
    <row r="436" spans="1:6" x14ac:dyDescent="0.2">
      <c r="A436" s="155"/>
      <c r="B436" s="156"/>
      <c r="C436" s="157"/>
      <c r="D436" s="157"/>
      <c r="E436" s="158"/>
      <c r="F436" s="159"/>
    </row>
    <row r="437" spans="1:6" x14ac:dyDescent="0.2">
      <c r="A437" s="155"/>
      <c r="B437" s="156"/>
      <c r="C437" s="157"/>
      <c r="D437" s="157"/>
      <c r="E437" s="158"/>
      <c r="F437" s="159"/>
    </row>
    <row r="438" spans="1:6" x14ac:dyDescent="0.2">
      <c r="A438" s="155"/>
      <c r="B438" s="156"/>
      <c r="C438" s="157"/>
      <c r="D438" s="157"/>
      <c r="E438" s="158"/>
      <c r="F438" s="159"/>
    </row>
    <row r="439" spans="1:6" x14ac:dyDescent="0.2">
      <c r="A439" s="155"/>
      <c r="B439" s="156"/>
      <c r="C439" s="157"/>
      <c r="D439" s="157"/>
      <c r="E439" s="158"/>
      <c r="F439" s="159"/>
    </row>
    <row r="440" spans="1:6" x14ac:dyDescent="0.2">
      <c r="A440" s="155"/>
      <c r="B440" s="156"/>
      <c r="C440" s="157"/>
      <c r="D440" s="157"/>
      <c r="E440" s="158"/>
      <c r="F440" s="159"/>
    </row>
    <row r="441" spans="1:6" x14ac:dyDescent="0.2">
      <c r="A441" s="155"/>
      <c r="B441" s="156"/>
      <c r="C441" s="157"/>
      <c r="D441" s="157"/>
      <c r="E441" s="158"/>
      <c r="F441" s="159"/>
    </row>
    <row r="442" spans="1:6" x14ac:dyDescent="0.2">
      <c r="A442" s="155"/>
      <c r="B442" s="156"/>
      <c r="C442" s="157"/>
      <c r="D442" s="157"/>
      <c r="E442" s="158"/>
      <c r="F442" s="159"/>
    </row>
    <row r="443" spans="1:6" x14ac:dyDescent="0.2">
      <c r="A443" s="155"/>
      <c r="B443" s="156"/>
      <c r="C443" s="157"/>
      <c r="D443" s="157"/>
      <c r="E443" s="158"/>
      <c r="F443" s="159"/>
    </row>
    <row r="444" spans="1:6" x14ac:dyDescent="0.2">
      <c r="A444" s="155"/>
      <c r="B444" s="156"/>
      <c r="C444" s="157"/>
      <c r="D444" s="157"/>
      <c r="E444" s="158"/>
      <c r="F444" s="159"/>
    </row>
    <row r="445" spans="1:6" x14ac:dyDescent="0.2">
      <c r="A445" s="155"/>
      <c r="B445" s="156"/>
      <c r="C445" s="157"/>
      <c r="D445" s="157"/>
      <c r="E445" s="158"/>
      <c r="F445" s="159"/>
    </row>
    <row r="446" spans="1:6" x14ac:dyDescent="0.2">
      <c r="A446" s="155"/>
      <c r="B446" s="156"/>
      <c r="C446" s="157"/>
      <c r="D446" s="157"/>
      <c r="E446" s="158"/>
      <c r="F446" s="159"/>
    </row>
    <row r="447" spans="1:6" x14ac:dyDescent="0.2">
      <c r="A447" s="155"/>
      <c r="B447" s="156"/>
      <c r="C447" s="157"/>
      <c r="D447" s="157"/>
      <c r="E447" s="158"/>
      <c r="F447" s="159"/>
    </row>
    <row r="448" spans="1:6" x14ac:dyDescent="0.2">
      <c r="A448" s="155"/>
      <c r="B448" s="156"/>
      <c r="C448" s="157"/>
      <c r="D448" s="157"/>
      <c r="E448" s="158"/>
      <c r="F448" s="159"/>
    </row>
    <row r="449" spans="1:6" x14ac:dyDescent="0.2">
      <c r="A449" s="155"/>
      <c r="B449" s="156"/>
      <c r="C449" s="157"/>
      <c r="D449" s="157"/>
      <c r="E449" s="158"/>
      <c r="F449" s="159"/>
    </row>
    <row r="450" spans="1:6" x14ac:dyDescent="0.2">
      <c r="A450" s="155"/>
      <c r="B450" s="156"/>
      <c r="C450" s="157"/>
      <c r="D450" s="157"/>
      <c r="E450" s="158"/>
      <c r="F450" s="159"/>
    </row>
    <row r="451" spans="1:6" x14ac:dyDescent="0.2">
      <c r="A451" s="155"/>
      <c r="B451" s="156"/>
      <c r="C451" s="157"/>
      <c r="D451" s="157"/>
      <c r="E451" s="158"/>
      <c r="F451" s="159"/>
    </row>
    <row r="452" spans="1:6" x14ac:dyDescent="0.2">
      <c r="A452" s="155"/>
      <c r="B452" s="156"/>
      <c r="C452" s="157"/>
      <c r="D452" s="157"/>
      <c r="E452" s="158"/>
      <c r="F452" s="159"/>
    </row>
    <row r="453" spans="1:6" x14ac:dyDescent="0.2">
      <c r="A453" s="155"/>
      <c r="B453" s="156"/>
      <c r="C453" s="157"/>
      <c r="D453" s="157"/>
      <c r="E453" s="158"/>
      <c r="F453" s="159"/>
    </row>
    <row r="454" spans="1:6" x14ac:dyDescent="0.2">
      <c r="A454" s="155"/>
      <c r="B454" s="156"/>
      <c r="C454" s="157"/>
      <c r="D454" s="157"/>
      <c r="E454" s="158"/>
      <c r="F454" s="159"/>
    </row>
    <row r="455" spans="1:6" x14ac:dyDescent="0.2">
      <c r="A455" s="155"/>
      <c r="B455" s="156"/>
      <c r="C455" s="157"/>
      <c r="D455" s="157"/>
      <c r="E455" s="158"/>
      <c r="F455" s="159"/>
    </row>
    <row r="456" spans="1:6" x14ac:dyDescent="0.2">
      <c r="A456" s="155"/>
      <c r="B456" s="156"/>
      <c r="C456" s="157"/>
      <c r="D456" s="157"/>
      <c r="E456" s="158"/>
      <c r="F456" s="159"/>
    </row>
    <row r="457" spans="1:6" x14ac:dyDescent="0.2">
      <c r="A457" s="155"/>
      <c r="B457" s="156"/>
      <c r="C457" s="157"/>
      <c r="D457" s="157"/>
      <c r="E457" s="158"/>
      <c r="F457" s="159"/>
    </row>
    <row r="458" spans="1:6" x14ac:dyDescent="0.2">
      <c r="A458" s="155"/>
      <c r="B458" s="156"/>
      <c r="C458" s="157"/>
      <c r="D458" s="157"/>
      <c r="E458" s="158"/>
      <c r="F458" s="159"/>
    </row>
    <row r="459" spans="1:6" x14ac:dyDescent="0.2">
      <c r="A459" s="155"/>
      <c r="B459" s="156"/>
      <c r="C459" s="157"/>
      <c r="D459" s="157"/>
      <c r="E459" s="158"/>
      <c r="F459" s="159"/>
    </row>
    <row r="460" spans="1:6" x14ac:dyDescent="0.2">
      <c r="A460" s="155"/>
      <c r="B460" s="156"/>
      <c r="C460" s="157"/>
      <c r="D460" s="157"/>
      <c r="E460" s="158"/>
      <c r="F460" s="159"/>
    </row>
    <row r="461" spans="1:6" x14ac:dyDescent="0.2">
      <c r="A461" s="155"/>
      <c r="B461" s="156"/>
      <c r="C461" s="157"/>
      <c r="D461" s="157"/>
      <c r="E461" s="158"/>
      <c r="F461" s="159"/>
    </row>
    <row r="462" spans="1:6" x14ac:dyDescent="0.2">
      <c r="A462" s="155"/>
      <c r="B462" s="156"/>
      <c r="C462" s="157"/>
      <c r="D462" s="157"/>
      <c r="E462" s="158"/>
      <c r="F462" s="159"/>
    </row>
    <row r="463" spans="1:6" x14ac:dyDescent="0.2">
      <c r="A463" s="155"/>
      <c r="B463" s="156"/>
      <c r="C463" s="157"/>
      <c r="D463" s="157"/>
      <c r="E463" s="158"/>
      <c r="F463" s="159"/>
    </row>
    <row r="464" spans="1:6" x14ac:dyDescent="0.2">
      <c r="A464" s="155"/>
      <c r="B464" s="156"/>
      <c r="C464" s="157"/>
      <c r="D464" s="157"/>
      <c r="E464" s="158"/>
      <c r="F464" s="159"/>
    </row>
    <row r="465" spans="1:6" x14ac:dyDescent="0.2">
      <c r="A465" s="155"/>
      <c r="B465" s="156"/>
      <c r="C465" s="157"/>
      <c r="D465" s="157"/>
      <c r="E465" s="158"/>
      <c r="F465" s="159"/>
    </row>
    <row r="466" spans="1:6" x14ac:dyDescent="0.2">
      <c r="A466" s="155"/>
      <c r="B466" s="156"/>
      <c r="C466" s="157"/>
      <c r="D466" s="157"/>
      <c r="E466" s="158"/>
      <c r="F466" s="159"/>
    </row>
    <row r="467" spans="1:6" x14ac:dyDescent="0.2">
      <c r="A467" s="155"/>
      <c r="B467" s="156"/>
      <c r="C467" s="157"/>
      <c r="D467" s="157"/>
      <c r="E467" s="158"/>
      <c r="F467" s="159"/>
    </row>
    <row r="468" spans="1:6" x14ac:dyDescent="0.2">
      <c r="A468" s="155"/>
      <c r="B468" s="156"/>
      <c r="C468" s="157"/>
      <c r="D468" s="157"/>
      <c r="E468" s="158"/>
      <c r="F468" s="159"/>
    </row>
    <row r="469" spans="1:6" x14ac:dyDescent="0.2">
      <c r="A469" s="155"/>
      <c r="B469" s="156"/>
      <c r="C469" s="157"/>
      <c r="D469" s="157"/>
      <c r="E469" s="158"/>
      <c r="F469" s="159"/>
    </row>
    <row r="470" spans="1:6" x14ac:dyDescent="0.2">
      <c r="A470" s="155"/>
      <c r="B470" s="156"/>
      <c r="C470" s="157"/>
      <c r="D470" s="157"/>
      <c r="E470" s="158"/>
      <c r="F470" s="159"/>
    </row>
    <row r="471" spans="1:6" x14ac:dyDescent="0.2">
      <c r="A471" s="155"/>
      <c r="B471" s="156"/>
      <c r="C471" s="157"/>
      <c r="D471" s="157"/>
      <c r="E471" s="158"/>
      <c r="F471" s="159"/>
    </row>
    <row r="472" spans="1:6" x14ac:dyDescent="0.2">
      <c r="A472" s="155"/>
      <c r="B472" s="156"/>
      <c r="C472" s="157"/>
      <c r="D472" s="157"/>
      <c r="E472" s="158"/>
      <c r="F472" s="159"/>
    </row>
    <row r="473" spans="1:6" x14ac:dyDescent="0.2">
      <c r="A473" s="155"/>
      <c r="B473" s="156"/>
      <c r="C473" s="157"/>
      <c r="D473" s="157"/>
      <c r="E473" s="158"/>
      <c r="F473" s="159"/>
    </row>
    <row r="474" spans="1:6" x14ac:dyDescent="0.2">
      <c r="A474" s="155"/>
      <c r="B474" s="156"/>
      <c r="C474" s="157"/>
      <c r="D474" s="157"/>
      <c r="E474" s="158"/>
      <c r="F474" s="159"/>
    </row>
    <row r="475" spans="1:6" x14ac:dyDescent="0.2">
      <c r="A475" s="155"/>
      <c r="B475" s="156"/>
      <c r="C475" s="157"/>
      <c r="D475" s="157"/>
      <c r="E475" s="158"/>
      <c r="F475" s="159"/>
    </row>
    <row r="476" spans="1:6" x14ac:dyDescent="0.2">
      <c r="A476" s="155"/>
      <c r="B476" s="156"/>
      <c r="C476" s="157"/>
      <c r="D476" s="157"/>
      <c r="E476" s="158"/>
      <c r="F476" s="159"/>
    </row>
    <row r="477" spans="1:6" x14ac:dyDescent="0.2">
      <c r="A477" s="155"/>
      <c r="B477" s="156"/>
      <c r="C477" s="157"/>
      <c r="D477" s="157"/>
      <c r="E477" s="158"/>
      <c r="F477" s="159"/>
    </row>
    <row r="478" spans="1:6" x14ac:dyDescent="0.2">
      <c r="A478" s="155"/>
      <c r="B478" s="156"/>
      <c r="C478" s="157"/>
      <c r="D478" s="157"/>
      <c r="E478" s="158"/>
      <c r="F478" s="159"/>
    </row>
    <row r="479" spans="1:6" x14ac:dyDescent="0.2">
      <c r="A479" s="155"/>
      <c r="B479" s="156"/>
      <c r="C479" s="157"/>
      <c r="D479" s="157"/>
      <c r="E479" s="158"/>
      <c r="F479" s="159"/>
    </row>
    <row r="480" spans="1:6" x14ac:dyDescent="0.2">
      <c r="A480" s="155"/>
      <c r="B480" s="156"/>
      <c r="C480" s="157"/>
      <c r="D480" s="157"/>
      <c r="E480" s="158"/>
      <c r="F480" s="159"/>
    </row>
    <row r="481" spans="1:6" x14ac:dyDescent="0.2">
      <c r="A481" s="155"/>
      <c r="B481" s="156"/>
      <c r="C481" s="157"/>
      <c r="D481" s="157"/>
      <c r="E481" s="158"/>
      <c r="F481" s="159"/>
    </row>
    <row r="482" spans="1:6" x14ac:dyDescent="0.2">
      <c r="A482" s="155"/>
      <c r="B482" s="156"/>
      <c r="C482" s="157"/>
      <c r="D482" s="157"/>
      <c r="E482" s="158"/>
      <c r="F482" s="159"/>
    </row>
    <row r="483" spans="1:6" x14ac:dyDescent="0.2">
      <c r="A483" s="155"/>
      <c r="B483" s="156"/>
      <c r="C483" s="157"/>
      <c r="D483" s="157"/>
      <c r="E483" s="158"/>
      <c r="F483" s="159"/>
    </row>
    <row r="484" spans="1:6" x14ac:dyDescent="0.2">
      <c r="A484" s="155"/>
      <c r="B484" s="156"/>
      <c r="C484" s="157"/>
      <c r="D484" s="157"/>
      <c r="E484" s="158"/>
      <c r="F484" s="159"/>
    </row>
    <row r="485" spans="1:6" x14ac:dyDescent="0.2">
      <c r="A485" s="155"/>
      <c r="B485" s="156"/>
      <c r="C485" s="157"/>
      <c r="D485" s="157"/>
      <c r="E485" s="158"/>
      <c r="F485" s="159"/>
    </row>
    <row r="486" spans="1:6" x14ac:dyDescent="0.2">
      <c r="A486" s="155"/>
      <c r="B486" s="156"/>
      <c r="C486" s="157"/>
      <c r="D486" s="157"/>
      <c r="E486" s="158"/>
      <c r="F486" s="159"/>
    </row>
    <row r="487" spans="1:6" x14ac:dyDescent="0.2">
      <c r="A487" s="155"/>
      <c r="B487" s="156"/>
      <c r="C487" s="157"/>
      <c r="D487" s="157"/>
      <c r="E487" s="158"/>
      <c r="F487" s="159"/>
    </row>
    <row r="488" spans="1:6" x14ac:dyDescent="0.2">
      <c r="A488" s="155"/>
      <c r="B488" s="156"/>
      <c r="C488" s="157"/>
      <c r="D488" s="157"/>
      <c r="E488" s="158"/>
      <c r="F488" s="159"/>
    </row>
    <row r="489" spans="1:6" x14ac:dyDescent="0.2">
      <c r="A489" s="155"/>
      <c r="B489" s="156"/>
      <c r="C489" s="157"/>
      <c r="D489" s="157"/>
      <c r="E489" s="158"/>
      <c r="F489" s="159"/>
    </row>
    <row r="490" spans="1:6" x14ac:dyDescent="0.2">
      <c r="A490" s="155"/>
      <c r="B490" s="156"/>
      <c r="C490" s="157"/>
      <c r="D490" s="157"/>
      <c r="E490" s="158"/>
      <c r="F490" s="159"/>
    </row>
    <row r="491" spans="1:6" x14ac:dyDescent="0.2">
      <c r="A491" s="155"/>
      <c r="B491" s="156"/>
      <c r="C491" s="157"/>
      <c r="D491" s="157"/>
      <c r="E491" s="158"/>
      <c r="F491" s="159"/>
    </row>
    <row r="492" spans="1:6" x14ac:dyDescent="0.2">
      <c r="A492" s="155"/>
      <c r="B492" s="156"/>
      <c r="C492" s="157"/>
      <c r="D492" s="157"/>
      <c r="E492" s="158"/>
      <c r="F492" s="159"/>
    </row>
    <row r="493" spans="1:6" x14ac:dyDescent="0.2">
      <c r="A493" s="155"/>
      <c r="B493" s="156"/>
      <c r="C493" s="157"/>
      <c r="D493" s="157"/>
      <c r="E493" s="158"/>
      <c r="F493" s="159"/>
    </row>
    <row r="494" spans="1:6" x14ac:dyDescent="0.2">
      <c r="A494" s="155"/>
      <c r="B494" s="156"/>
      <c r="C494" s="157"/>
      <c r="D494" s="157"/>
      <c r="E494" s="158"/>
      <c r="F494" s="159"/>
    </row>
    <row r="495" spans="1:6" x14ac:dyDescent="0.2">
      <c r="A495" s="155"/>
      <c r="B495" s="156"/>
      <c r="C495" s="157"/>
      <c r="D495" s="157"/>
      <c r="E495" s="158"/>
      <c r="F495" s="159"/>
    </row>
    <row r="496" spans="1:6" x14ac:dyDescent="0.2">
      <c r="A496" s="155"/>
      <c r="B496" s="156"/>
      <c r="C496" s="157"/>
      <c r="D496" s="157"/>
      <c r="E496" s="158"/>
      <c r="F496" s="159"/>
    </row>
    <row r="497" spans="1:6" x14ac:dyDescent="0.2">
      <c r="A497" s="155"/>
      <c r="B497" s="156"/>
      <c r="C497" s="157"/>
      <c r="D497" s="157"/>
      <c r="E497" s="158"/>
      <c r="F497" s="159"/>
    </row>
    <row r="498" spans="1:6" x14ac:dyDescent="0.2">
      <c r="A498" s="155"/>
      <c r="B498" s="156"/>
      <c r="C498" s="157"/>
      <c r="D498" s="157"/>
      <c r="E498" s="158"/>
      <c r="F498" s="159"/>
    </row>
    <row r="499" spans="1:6" x14ac:dyDescent="0.2">
      <c r="A499" s="155"/>
      <c r="B499" s="156"/>
      <c r="C499" s="157"/>
      <c r="D499" s="157"/>
      <c r="E499" s="158"/>
      <c r="F499" s="159"/>
    </row>
    <row r="500" spans="1:6" x14ac:dyDescent="0.2">
      <c r="A500" s="155"/>
      <c r="B500" s="156"/>
      <c r="C500" s="157"/>
      <c r="D500" s="157"/>
      <c r="E500" s="158"/>
      <c r="F500" s="159"/>
    </row>
    <row r="501" spans="1:6" x14ac:dyDescent="0.2">
      <c r="A501" s="155"/>
      <c r="B501" s="156"/>
      <c r="C501" s="157"/>
      <c r="D501" s="157"/>
      <c r="E501" s="158"/>
      <c r="F501" s="159"/>
    </row>
    <row r="502" spans="1:6" x14ac:dyDescent="0.2">
      <c r="A502" s="155"/>
      <c r="B502" s="156"/>
      <c r="C502" s="157"/>
      <c r="D502" s="157"/>
      <c r="E502" s="158"/>
      <c r="F502" s="159"/>
    </row>
    <row r="503" spans="1:6" x14ac:dyDescent="0.2">
      <c r="A503" s="155"/>
      <c r="B503" s="156"/>
      <c r="C503" s="157"/>
      <c r="D503" s="157"/>
      <c r="E503" s="158"/>
      <c r="F503" s="159"/>
    </row>
    <row r="504" spans="1:6" x14ac:dyDescent="0.2">
      <c r="A504" s="155"/>
      <c r="B504" s="156"/>
      <c r="C504" s="157"/>
      <c r="D504" s="157"/>
      <c r="E504" s="158"/>
      <c r="F504" s="159"/>
    </row>
    <row r="505" spans="1:6" x14ac:dyDescent="0.2">
      <c r="A505" s="155"/>
      <c r="B505" s="156"/>
      <c r="C505" s="157"/>
      <c r="D505" s="157"/>
      <c r="E505" s="158"/>
      <c r="F505" s="159"/>
    </row>
    <row r="506" spans="1:6" x14ac:dyDescent="0.2">
      <c r="A506" s="155"/>
      <c r="B506" s="156"/>
      <c r="C506" s="157"/>
      <c r="D506" s="157"/>
      <c r="E506" s="158"/>
      <c r="F506" s="159"/>
    </row>
    <row r="507" spans="1:6" x14ac:dyDescent="0.2">
      <c r="A507" s="155"/>
      <c r="B507" s="156"/>
      <c r="C507" s="157"/>
      <c r="D507" s="157"/>
      <c r="E507" s="158"/>
      <c r="F507" s="159"/>
    </row>
    <row r="508" spans="1:6" x14ac:dyDescent="0.2">
      <c r="A508" s="155"/>
      <c r="B508" s="156"/>
      <c r="C508" s="157"/>
      <c r="D508" s="157"/>
      <c r="E508" s="158"/>
      <c r="F508" s="159"/>
    </row>
    <row r="509" spans="1:6" x14ac:dyDescent="0.2">
      <c r="A509" s="155"/>
      <c r="B509" s="156"/>
      <c r="C509" s="157"/>
      <c r="D509" s="157"/>
      <c r="E509" s="158"/>
      <c r="F509" s="159"/>
    </row>
    <row r="510" spans="1:6" x14ac:dyDescent="0.2">
      <c r="A510" s="155"/>
      <c r="B510" s="156"/>
      <c r="C510" s="157"/>
      <c r="D510" s="157"/>
      <c r="E510" s="158"/>
      <c r="F510" s="159"/>
    </row>
    <row r="511" spans="1:6" x14ac:dyDescent="0.2">
      <c r="A511" s="155"/>
      <c r="B511" s="156"/>
      <c r="C511" s="157"/>
      <c r="D511" s="157"/>
      <c r="E511" s="158"/>
      <c r="F511" s="159"/>
    </row>
    <row r="512" spans="1:6" x14ac:dyDescent="0.2">
      <c r="A512" s="155"/>
      <c r="B512" s="156"/>
      <c r="C512" s="157"/>
      <c r="D512" s="157"/>
      <c r="E512" s="158"/>
      <c r="F512" s="159"/>
    </row>
    <row r="513" spans="1:6" x14ac:dyDescent="0.2">
      <c r="A513" s="155"/>
      <c r="B513" s="156"/>
      <c r="C513" s="157"/>
      <c r="D513" s="157"/>
      <c r="E513" s="158"/>
      <c r="F513" s="159"/>
    </row>
    <row r="514" spans="1:6" x14ac:dyDescent="0.2">
      <c r="A514" s="155"/>
      <c r="B514" s="156"/>
      <c r="C514" s="157"/>
      <c r="D514" s="157"/>
      <c r="E514" s="158"/>
      <c r="F514" s="159"/>
    </row>
    <row r="515" spans="1:6" x14ac:dyDescent="0.2">
      <c r="A515" s="155"/>
      <c r="B515" s="156"/>
      <c r="C515" s="157"/>
      <c r="D515" s="157"/>
      <c r="E515" s="158"/>
      <c r="F515" s="159"/>
    </row>
    <row r="516" spans="1:6" x14ac:dyDescent="0.2">
      <c r="A516" s="155"/>
      <c r="B516" s="156"/>
      <c r="C516" s="157"/>
      <c r="D516" s="157"/>
      <c r="E516" s="158"/>
      <c r="F516" s="159"/>
    </row>
    <row r="517" spans="1:6" x14ac:dyDescent="0.2">
      <c r="A517" s="155"/>
      <c r="B517" s="156"/>
      <c r="C517" s="157"/>
      <c r="D517" s="157"/>
      <c r="E517" s="158"/>
      <c r="F517" s="159"/>
    </row>
    <row r="518" spans="1:6" x14ac:dyDescent="0.2">
      <c r="A518" s="155"/>
      <c r="B518" s="156"/>
      <c r="C518" s="157"/>
      <c r="D518" s="157"/>
      <c r="E518" s="158"/>
      <c r="F518" s="159"/>
    </row>
    <row r="519" spans="1:6" x14ac:dyDescent="0.2">
      <c r="A519" s="155"/>
      <c r="B519" s="156"/>
      <c r="C519" s="157"/>
      <c r="D519" s="157"/>
      <c r="E519" s="158"/>
      <c r="F519" s="159"/>
    </row>
    <row r="520" spans="1:6" x14ac:dyDescent="0.2">
      <c r="A520" s="155"/>
      <c r="B520" s="156"/>
      <c r="C520" s="157"/>
      <c r="D520" s="157"/>
      <c r="E520" s="158"/>
      <c r="F520" s="159"/>
    </row>
    <row r="521" spans="1:6" x14ac:dyDescent="0.2">
      <c r="A521" s="155"/>
      <c r="B521" s="156"/>
      <c r="C521" s="157"/>
      <c r="D521" s="157"/>
      <c r="E521" s="158"/>
      <c r="F521" s="159"/>
    </row>
    <row r="522" spans="1:6" x14ac:dyDescent="0.2">
      <c r="A522" s="155"/>
      <c r="B522" s="156"/>
      <c r="C522" s="157"/>
      <c r="D522" s="157"/>
      <c r="E522" s="158"/>
      <c r="F522" s="159"/>
    </row>
    <row r="523" spans="1:6" x14ac:dyDescent="0.2">
      <c r="A523" s="155"/>
      <c r="B523" s="156"/>
      <c r="C523" s="157"/>
      <c r="D523" s="157"/>
      <c r="E523" s="158"/>
      <c r="F523" s="159"/>
    </row>
    <row r="524" spans="1:6" x14ac:dyDescent="0.2">
      <c r="A524" s="155"/>
      <c r="B524" s="156"/>
      <c r="C524" s="157"/>
      <c r="D524" s="157"/>
      <c r="E524" s="158"/>
      <c r="F524" s="159"/>
    </row>
    <row r="525" spans="1:6" x14ac:dyDescent="0.2">
      <c r="A525" s="155"/>
      <c r="B525" s="156"/>
      <c r="C525" s="157"/>
      <c r="D525" s="157"/>
      <c r="E525" s="158"/>
      <c r="F525" s="159"/>
    </row>
    <row r="526" spans="1:6" x14ac:dyDescent="0.2">
      <c r="A526" s="155"/>
      <c r="B526" s="156"/>
      <c r="C526" s="157"/>
      <c r="D526" s="157"/>
      <c r="E526" s="158"/>
      <c r="F526" s="159"/>
    </row>
    <row r="527" spans="1:6" x14ac:dyDescent="0.2">
      <c r="A527" s="155"/>
      <c r="B527" s="156"/>
      <c r="C527" s="157"/>
      <c r="D527" s="157"/>
      <c r="E527" s="158"/>
      <c r="F527" s="159"/>
    </row>
    <row r="528" spans="1:6" x14ac:dyDescent="0.2">
      <c r="A528" s="155"/>
      <c r="B528" s="156"/>
      <c r="C528" s="157"/>
      <c r="D528" s="157"/>
      <c r="E528" s="158"/>
      <c r="F528" s="159"/>
    </row>
    <row r="529" spans="1:6" x14ac:dyDescent="0.2">
      <c r="A529" s="155"/>
      <c r="B529" s="156"/>
      <c r="C529" s="157"/>
      <c r="D529" s="157"/>
      <c r="E529" s="158"/>
      <c r="F529" s="159"/>
    </row>
    <row r="530" spans="1:6" x14ac:dyDescent="0.2">
      <c r="A530" s="155"/>
      <c r="B530" s="156"/>
      <c r="C530" s="157"/>
      <c r="D530" s="157"/>
      <c r="E530" s="158"/>
      <c r="F530" s="159"/>
    </row>
    <row r="531" spans="1:6" x14ac:dyDescent="0.2">
      <c r="A531" s="155"/>
      <c r="B531" s="156"/>
      <c r="C531" s="157"/>
      <c r="D531" s="157"/>
      <c r="E531" s="158"/>
      <c r="F531" s="159"/>
    </row>
    <row r="532" spans="1:6" x14ac:dyDescent="0.2">
      <c r="A532" s="155"/>
      <c r="B532" s="156"/>
      <c r="C532" s="157"/>
      <c r="D532" s="157"/>
      <c r="E532" s="158"/>
      <c r="F532" s="159"/>
    </row>
    <row r="533" spans="1:6" x14ac:dyDescent="0.2">
      <c r="A533" s="155"/>
      <c r="B533" s="156"/>
      <c r="C533" s="157"/>
      <c r="D533" s="157"/>
      <c r="E533" s="158"/>
      <c r="F533" s="159"/>
    </row>
    <row r="534" spans="1:6" x14ac:dyDescent="0.2">
      <c r="A534" s="155"/>
      <c r="B534" s="156"/>
      <c r="C534" s="157"/>
      <c r="D534" s="157"/>
      <c r="E534" s="158"/>
      <c r="F534" s="159"/>
    </row>
    <row r="535" spans="1:6" x14ac:dyDescent="0.2">
      <c r="A535" s="155"/>
      <c r="B535" s="156"/>
      <c r="C535" s="157"/>
      <c r="D535" s="157"/>
      <c r="E535" s="158"/>
      <c r="F535" s="159"/>
    </row>
    <row r="536" spans="1:6" x14ac:dyDescent="0.2">
      <c r="A536" s="155"/>
      <c r="B536" s="156"/>
      <c r="C536" s="157"/>
      <c r="D536" s="157"/>
      <c r="E536" s="158"/>
      <c r="F536" s="159"/>
    </row>
    <row r="537" spans="1:6" x14ac:dyDescent="0.2">
      <c r="A537" s="155"/>
      <c r="B537" s="156"/>
      <c r="C537" s="157"/>
      <c r="D537" s="157"/>
      <c r="E537" s="158"/>
      <c r="F537" s="159"/>
    </row>
    <row r="538" spans="1:6" x14ac:dyDescent="0.2">
      <c r="A538" s="155"/>
      <c r="B538" s="156"/>
      <c r="C538" s="157"/>
      <c r="D538" s="157"/>
      <c r="E538" s="158"/>
      <c r="F538" s="159"/>
    </row>
    <row r="539" spans="1:6" x14ac:dyDescent="0.2">
      <c r="A539" s="155"/>
      <c r="B539" s="156"/>
      <c r="C539" s="157"/>
      <c r="D539" s="157"/>
      <c r="E539" s="158"/>
      <c r="F539" s="159"/>
    </row>
    <row r="540" spans="1:6" x14ac:dyDescent="0.2">
      <c r="A540" s="155"/>
      <c r="B540" s="156"/>
      <c r="C540" s="157"/>
      <c r="D540" s="157"/>
      <c r="E540" s="158"/>
      <c r="F540" s="159"/>
    </row>
    <row r="541" spans="1:6" x14ac:dyDescent="0.2">
      <c r="A541" s="155"/>
      <c r="B541" s="156"/>
      <c r="C541" s="157"/>
      <c r="D541" s="157"/>
      <c r="E541" s="158"/>
      <c r="F541" s="159"/>
    </row>
    <row r="542" spans="1:6" x14ac:dyDescent="0.2">
      <c r="A542" s="155"/>
      <c r="B542" s="156"/>
      <c r="C542" s="157"/>
      <c r="D542" s="157"/>
      <c r="E542" s="158"/>
      <c r="F542" s="159"/>
    </row>
    <row r="543" spans="1:6" x14ac:dyDescent="0.2">
      <c r="A543" s="155"/>
      <c r="B543" s="156"/>
      <c r="C543" s="157"/>
      <c r="D543" s="157"/>
      <c r="E543" s="158"/>
      <c r="F543" s="159"/>
    </row>
    <row r="544" spans="1:6" x14ac:dyDescent="0.2">
      <c r="A544" s="155"/>
      <c r="B544" s="156"/>
      <c r="C544" s="157"/>
      <c r="D544" s="157"/>
      <c r="E544" s="158"/>
      <c r="F544" s="159"/>
    </row>
    <row r="545" spans="1:6" x14ac:dyDescent="0.2">
      <c r="A545" s="155"/>
      <c r="B545" s="156"/>
      <c r="C545" s="157"/>
      <c r="D545" s="157"/>
      <c r="E545" s="158"/>
      <c r="F545" s="159"/>
    </row>
    <row r="546" spans="1:6" x14ac:dyDescent="0.2">
      <c r="A546" s="155"/>
      <c r="B546" s="156"/>
      <c r="C546" s="157"/>
      <c r="D546" s="157"/>
      <c r="E546" s="158"/>
      <c r="F546" s="159"/>
    </row>
    <row r="547" spans="1:6" x14ac:dyDescent="0.2">
      <c r="A547" s="155"/>
      <c r="B547" s="156"/>
      <c r="C547" s="157"/>
      <c r="D547" s="157"/>
      <c r="E547" s="158"/>
      <c r="F547" s="159"/>
    </row>
    <row r="548" spans="1:6" x14ac:dyDescent="0.2">
      <c r="A548" s="155"/>
      <c r="B548" s="156"/>
      <c r="C548" s="157"/>
      <c r="D548" s="157"/>
      <c r="E548" s="158"/>
      <c r="F548" s="159"/>
    </row>
    <row r="549" spans="1:6" x14ac:dyDescent="0.2">
      <c r="A549" s="155"/>
      <c r="B549" s="156"/>
      <c r="C549" s="157"/>
      <c r="D549" s="157"/>
      <c r="E549" s="158"/>
      <c r="F549" s="159"/>
    </row>
    <row r="550" spans="1:6" x14ac:dyDescent="0.2">
      <c r="A550" s="155"/>
      <c r="B550" s="156"/>
      <c r="C550" s="157"/>
      <c r="D550" s="157"/>
      <c r="E550" s="158"/>
      <c r="F550" s="159"/>
    </row>
    <row r="551" spans="1:6" x14ac:dyDescent="0.2">
      <c r="A551" s="155"/>
      <c r="B551" s="156"/>
      <c r="C551" s="157"/>
      <c r="D551" s="157"/>
      <c r="E551" s="158"/>
      <c r="F551" s="159"/>
    </row>
    <row r="552" spans="1:6" x14ac:dyDescent="0.2">
      <c r="A552" s="155"/>
      <c r="B552" s="156"/>
      <c r="C552" s="157"/>
      <c r="D552" s="157"/>
      <c r="E552" s="158"/>
      <c r="F552" s="159"/>
    </row>
    <row r="553" spans="1:6" x14ac:dyDescent="0.2">
      <c r="A553" s="155"/>
      <c r="B553" s="156"/>
      <c r="C553" s="157"/>
      <c r="D553" s="157"/>
      <c r="E553" s="158"/>
      <c r="F553" s="159"/>
    </row>
    <row r="554" spans="1:6" x14ac:dyDescent="0.2">
      <c r="A554" s="155"/>
      <c r="B554" s="156"/>
      <c r="C554" s="157"/>
      <c r="D554" s="157"/>
      <c r="E554" s="158"/>
      <c r="F554" s="159"/>
    </row>
    <row r="555" spans="1:6" x14ac:dyDescent="0.2">
      <c r="A555" s="155"/>
      <c r="B555" s="156"/>
      <c r="C555" s="157"/>
      <c r="D555" s="157"/>
      <c r="E555" s="158"/>
      <c r="F555" s="159"/>
    </row>
    <row r="556" spans="1:6" x14ac:dyDescent="0.2">
      <c r="A556" s="155"/>
      <c r="B556" s="156"/>
      <c r="C556" s="157"/>
      <c r="D556" s="157"/>
      <c r="E556" s="158"/>
      <c r="F556" s="159"/>
    </row>
    <row r="557" spans="1:6" x14ac:dyDescent="0.2">
      <c r="A557" s="155"/>
      <c r="B557" s="156"/>
      <c r="C557" s="157"/>
      <c r="D557" s="157"/>
      <c r="E557" s="158"/>
      <c r="F557" s="159"/>
    </row>
    <row r="558" spans="1:6" x14ac:dyDescent="0.2">
      <c r="A558" s="155"/>
      <c r="B558" s="156"/>
      <c r="C558" s="157"/>
      <c r="D558" s="157"/>
      <c r="E558" s="158"/>
      <c r="F558" s="159"/>
    </row>
    <row r="559" spans="1:6" x14ac:dyDescent="0.2">
      <c r="A559" s="155"/>
      <c r="B559" s="156"/>
      <c r="C559" s="157"/>
      <c r="D559" s="157"/>
      <c r="E559" s="158"/>
      <c r="F559" s="159"/>
    </row>
    <row r="560" spans="1:6" x14ac:dyDescent="0.2">
      <c r="A560" s="155"/>
      <c r="B560" s="156"/>
      <c r="C560" s="157"/>
      <c r="D560" s="157"/>
      <c r="E560" s="158"/>
      <c r="F560" s="159"/>
    </row>
    <row r="561" spans="1:6" x14ac:dyDescent="0.2">
      <c r="A561" s="155"/>
      <c r="B561" s="156"/>
      <c r="C561" s="157"/>
      <c r="D561" s="157"/>
      <c r="E561" s="158"/>
      <c r="F561" s="159"/>
    </row>
    <row r="562" spans="1:6" x14ac:dyDescent="0.2">
      <c r="A562" s="155"/>
      <c r="B562" s="156"/>
      <c r="C562" s="157"/>
      <c r="D562" s="157"/>
      <c r="E562" s="158"/>
      <c r="F562" s="159"/>
    </row>
    <row r="563" spans="1:6" x14ac:dyDescent="0.2">
      <c r="A563" s="155"/>
      <c r="B563" s="156"/>
      <c r="C563" s="157"/>
      <c r="D563" s="157"/>
      <c r="E563" s="158"/>
      <c r="F563" s="159"/>
    </row>
    <row r="564" spans="1:6" x14ac:dyDescent="0.2">
      <c r="A564" s="155"/>
      <c r="B564" s="156"/>
      <c r="C564" s="157"/>
      <c r="D564" s="157"/>
      <c r="E564" s="158"/>
      <c r="F564" s="159"/>
    </row>
    <row r="565" spans="1:6" x14ac:dyDescent="0.2">
      <c r="A565" s="155"/>
      <c r="B565" s="156"/>
      <c r="C565" s="157"/>
      <c r="D565" s="157"/>
      <c r="E565" s="158"/>
      <c r="F565" s="159"/>
    </row>
    <row r="566" spans="1:6" x14ac:dyDescent="0.2">
      <c r="A566" s="155"/>
      <c r="B566" s="156"/>
      <c r="C566" s="157"/>
      <c r="D566" s="157"/>
      <c r="E566" s="158"/>
      <c r="F566" s="159"/>
    </row>
    <row r="567" spans="1:6" x14ac:dyDescent="0.2">
      <c r="A567" s="155"/>
      <c r="B567" s="156"/>
      <c r="C567" s="157"/>
      <c r="D567" s="157"/>
      <c r="E567" s="158"/>
      <c r="F567" s="159"/>
    </row>
    <row r="568" spans="1:6" x14ac:dyDescent="0.2">
      <c r="A568" s="155"/>
      <c r="B568" s="156"/>
      <c r="C568" s="157"/>
      <c r="D568" s="157"/>
      <c r="E568" s="158"/>
      <c r="F568" s="159"/>
    </row>
    <row r="569" spans="1:6" x14ac:dyDescent="0.2">
      <c r="A569" s="155"/>
      <c r="B569" s="156"/>
      <c r="C569" s="157"/>
      <c r="D569" s="157"/>
      <c r="E569" s="158"/>
      <c r="F569" s="159"/>
    </row>
    <row r="570" spans="1:6" x14ac:dyDescent="0.2">
      <c r="A570" s="155"/>
      <c r="B570" s="156"/>
      <c r="C570" s="157"/>
      <c r="D570" s="157"/>
      <c r="E570" s="158"/>
      <c r="F570" s="159"/>
    </row>
    <row r="571" spans="1:6" x14ac:dyDescent="0.2">
      <c r="A571" s="155"/>
      <c r="B571" s="156"/>
      <c r="C571" s="157"/>
      <c r="D571" s="157"/>
      <c r="E571" s="158"/>
      <c r="F571" s="159"/>
    </row>
    <row r="572" spans="1:6" x14ac:dyDescent="0.2">
      <c r="A572" s="155"/>
      <c r="B572" s="156"/>
      <c r="C572" s="157"/>
      <c r="D572" s="157"/>
      <c r="E572" s="158"/>
      <c r="F572" s="159"/>
    </row>
    <row r="573" spans="1:6" x14ac:dyDescent="0.2">
      <c r="A573" s="155"/>
      <c r="B573" s="156"/>
      <c r="C573" s="157"/>
      <c r="D573" s="157"/>
      <c r="E573" s="158"/>
      <c r="F573" s="159"/>
    </row>
    <row r="574" spans="1:6" x14ac:dyDescent="0.2">
      <c r="A574" s="155"/>
      <c r="B574" s="156"/>
      <c r="C574" s="157"/>
      <c r="D574" s="157"/>
      <c r="E574" s="158"/>
      <c r="F574" s="159"/>
    </row>
    <row r="575" spans="1:6" x14ac:dyDescent="0.2">
      <c r="A575" s="155"/>
      <c r="B575" s="156"/>
      <c r="C575" s="157"/>
      <c r="D575" s="157"/>
      <c r="E575" s="158"/>
      <c r="F575" s="159"/>
    </row>
    <row r="576" spans="1:6" x14ac:dyDescent="0.2">
      <c r="A576" s="155"/>
      <c r="B576" s="156"/>
      <c r="C576" s="157"/>
      <c r="D576" s="157"/>
      <c r="E576" s="158"/>
      <c r="F576" s="159"/>
    </row>
    <row r="577" spans="1:6" x14ac:dyDescent="0.2">
      <c r="A577" s="155"/>
      <c r="B577" s="156"/>
      <c r="C577" s="157"/>
      <c r="D577" s="157"/>
      <c r="E577" s="158"/>
      <c r="F577" s="159"/>
    </row>
    <row r="578" spans="1:6" x14ac:dyDescent="0.2">
      <c r="A578" s="155"/>
      <c r="B578" s="156"/>
      <c r="C578" s="157"/>
      <c r="D578" s="157"/>
      <c r="E578" s="158"/>
      <c r="F578" s="159"/>
    </row>
    <row r="579" spans="1:6" x14ac:dyDescent="0.2">
      <c r="A579" s="155"/>
      <c r="B579" s="156"/>
      <c r="C579" s="157"/>
      <c r="D579" s="157"/>
      <c r="E579" s="158"/>
      <c r="F579" s="159"/>
    </row>
    <row r="580" spans="1:6" x14ac:dyDescent="0.2">
      <c r="A580" s="155"/>
      <c r="B580" s="156"/>
      <c r="C580" s="157"/>
      <c r="D580" s="157"/>
      <c r="E580" s="158"/>
      <c r="F580" s="159"/>
    </row>
    <row r="581" spans="1:6" x14ac:dyDescent="0.2">
      <c r="A581" s="155"/>
      <c r="B581" s="156"/>
      <c r="C581" s="157"/>
      <c r="D581" s="157"/>
      <c r="E581" s="158"/>
      <c r="F581" s="159"/>
    </row>
    <row r="582" spans="1:6" x14ac:dyDescent="0.2">
      <c r="A582" s="155"/>
      <c r="B582" s="156"/>
      <c r="C582" s="157"/>
      <c r="D582" s="157"/>
      <c r="E582" s="158"/>
      <c r="F582" s="159"/>
    </row>
    <row r="583" spans="1:6" x14ac:dyDescent="0.2">
      <c r="A583" s="155"/>
      <c r="B583" s="156"/>
      <c r="C583" s="157"/>
      <c r="D583" s="157"/>
      <c r="E583" s="158"/>
      <c r="F583" s="159"/>
    </row>
    <row r="584" spans="1:6" x14ac:dyDescent="0.2">
      <c r="A584" s="155"/>
      <c r="B584" s="156"/>
      <c r="C584" s="157"/>
      <c r="D584" s="157"/>
      <c r="E584" s="158"/>
      <c r="F584" s="159"/>
    </row>
    <row r="585" spans="1:6" x14ac:dyDescent="0.2">
      <c r="A585" s="155"/>
      <c r="B585" s="156"/>
      <c r="C585" s="157"/>
      <c r="D585" s="157"/>
      <c r="E585" s="158"/>
      <c r="F585" s="159"/>
    </row>
    <row r="586" spans="1:6" x14ac:dyDescent="0.2">
      <c r="A586" s="155"/>
      <c r="B586" s="156"/>
      <c r="C586" s="157"/>
      <c r="D586" s="157"/>
      <c r="E586" s="158"/>
      <c r="F586" s="159"/>
    </row>
    <row r="587" spans="1:6" x14ac:dyDescent="0.2">
      <c r="A587" s="155"/>
      <c r="B587" s="156"/>
      <c r="C587" s="157"/>
      <c r="D587" s="157"/>
      <c r="E587" s="158"/>
      <c r="F587" s="159"/>
    </row>
    <row r="588" spans="1:6" x14ac:dyDescent="0.2">
      <c r="A588" s="155"/>
      <c r="B588" s="156"/>
      <c r="C588" s="157"/>
      <c r="D588" s="157"/>
      <c r="E588" s="158"/>
      <c r="F588" s="159"/>
    </row>
    <row r="589" spans="1:6" x14ac:dyDescent="0.2">
      <c r="A589" s="155"/>
      <c r="B589" s="156"/>
      <c r="C589" s="157"/>
      <c r="D589" s="157"/>
      <c r="E589" s="158"/>
      <c r="F589" s="159"/>
    </row>
    <row r="590" spans="1:6" x14ac:dyDescent="0.2">
      <c r="A590" s="155"/>
      <c r="B590" s="156"/>
      <c r="C590" s="157"/>
      <c r="D590" s="157"/>
      <c r="E590" s="158"/>
      <c r="F590" s="159"/>
    </row>
    <row r="591" spans="1:6" x14ac:dyDescent="0.2">
      <c r="A591" s="155"/>
      <c r="B591" s="156"/>
      <c r="C591" s="157"/>
      <c r="D591" s="157"/>
      <c r="E591" s="158"/>
      <c r="F591" s="159"/>
    </row>
    <row r="592" spans="1:6" x14ac:dyDescent="0.2">
      <c r="A592" s="155"/>
      <c r="B592" s="156"/>
      <c r="C592" s="157"/>
      <c r="D592" s="157"/>
      <c r="E592" s="158"/>
      <c r="F592" s="159"/>
    </row>
    <row r="593" spans="1:6" x14ac:dyDescent="0.2">
      <c r="A593" s="155"/>
      <c r="B593" s="156"/>
      <c r="C593" s="157"/>
      <c r="D593" s="157"/>
      <c r="E593" s="158"/>
      <c r="F593" s="159"/>
    </row>
    <row r="594" spans="1:6" x14ac:dyDescent="0.2">
      <c r="A594" s="155"/>
      <c r="B594" s="156"/>
      <c r="C594" s="157"/>
      <c r="D594" s="157"/>
      <c r="E594" s="158"/>
      <c r="F594" s="159"/>
    </row>
    <row r="595" spans="1:6" x14ac:dyDescent="0.2">
      <c r="A595" s="155"/>
      <c r="B595" s="156"/>
      <c r="C595" s="157"/>
      <c r="D595" s="157"/>
      <c r="E595" s="158"/>
      <c r="F595" s="159"/>
    </row>
    <row r="596" spans="1:6" x14ac:dyDescent="0.2">
      <c r="A596" s="155"/>
      <c r="B596" s="156"/>
      <c r="C596" s="157"/>
      <c r="D596" s="157"/>
      <c r="E596" s="158"/>
      <c r="F596" s="159"/>
    </row>
    <row r="597" spans="1:6" x14ac:dyDescent="0.2">
      <c r="A597" s="155"/>
      <c r="B597" s="156"/>
      <c r="C597" s="157"/>
      <c r="D597" s="157"/>
      <c r="E597" s="158"/>
      <c r="F597" s="159"/>
    </row>
    <row r="598" spans="1:6" x14ac:dyDescent="0.2">
      <c r="A598" s="155"/>
      <c r="B598" s="156"/>
      <c r="C598" s="157"/>
      <c r="D598" s="157"/>
      <c r="E598" s="158"/>
      <c r="F598" s="159"/>
    </row>
    <row r="599" spans="1:6" x14ac:dyDescent="0.2">
      <c r="A599" s="155"/>
      <c r="B599" s="156"/>
      <c r="C599" s="157"/>
      <c r="D599" s="157"/>
      <c r="E599" s="158"/>
      <c r="F599" s="159"/>
    </row>
    <row r="600" spans="1:6" x14ac:dyDescent="0.2">
      <c r="A600" s="155"/>
      <c r="B600" s="156"/>
      <c r="C600" s="157"/>
      <c r="D600" s="157"/>
      <c r="E600" s="158"/>
      <c r="F600" s="159"/>
    </row>
    <row r="601" spans="1:6" x14ac:dyDescent="0.2">
      <c r="A601" s="155"/>
      <c r="B601" s="156"/>
      <c r="C601" s="157"/>
      <c r="D601" s="157"/>
      <c r="E601" s="158"/>
      <c r="F601" s="159"/>
    </row>
    <row r="602" spans="1:6" x14ac:dyDescent="0.2">
      <c r="A602" s="155"/>
      <c r="B602" s="156"/>
      <c r="C602" s="157"/>
      <c r="D602" s="157"/>
      <c r="E602" s="158"/>
      <c r="F602" s="159"/>
    </row>
    <row r="603" spans="1:6" x14ac:dyDescent="0.2">
      <c r="A603" s="155"/>
      <c r="B603" s="156"/>
      <c r="C603" s="157"/>
      <c r="D603" s="157"/>
      <c r="E603" s="158"/>
      <c r="F603" s="159"/>
    </row>
    <row r="604" spans="1:6" x14ac:dyDescent="0.2">
      <c r="A604" s="155"/>
      <c r="B604" s="156"/>
      <c r="C604" s="157"/>
      <c r="D604" s="157"/>
      <c r="E604" s="158"/>
      <c r="F604" s="159"/>
    </row>
    <row r="605" spans="1:6" x14ac:dyDescent="0.2">
      <c r="A605" s="155"/>
      <c r="B605" s="156"/>
      <c r="C605" s="157"/>
      <c r="D605" s="157"/>
      <c r="E605" s="158"/>
      <c r="F605" s="159"/>
    </row>
    <row r="606" spans="1:6" x14ac:dyDescent="0.2">
      <c r="A606" s="155"/>
      <c r="B606" s="156"/>
      <c r="C606" s="157"/>
      <c r="D606" s="157"/>
      <c r="E606" s="158"/>
      <c r="F606" s="159"/>
    </row>
    <row r="607" spans="1:6" x14ac:dyDescent="0.2">
      <c r="A607" s="155"/>
      <c r="B607" s="156"/>
      <c r="C607" s="157"/>
      <c r="D607" s="157"/>
      <c r="E607" s="158"/>
      <c r="F607" s="159"/>
    </row>
    <row r="608" spans="1:6" x14ac:dyDescent="0.2">
      <c r="A608" s="155"/>
      <c r="B608" s="156"/>
      <c r="C608" s="157"/>
      <c r="D608" s="157"/>
      <c r="E608" s="158"/>
      <c r="F608" s="159"/>
    </row>
    <row r="609" spans="1:6" x14ac:dyDescent="0.2">
      <c r="A609" s="155"/>
      <c r="B609" s="156"/>
      <c r="C609" s="157"/>
      <c r="D609" s="157"/>
      <c r="E609" s="158"/>
      <c r="F609" s="159"/>
    </row>
    <row r="610" spans="1:6" x14ac:dyDescent="0.2">
      <c r="A610" s="155"/>
      <c r="B610" s="156"/>
      <c r="C610" s="157"/>
      <c r="D610" s="157"/>
      <c r="E610" s="158"/>
      <c r="F610" s="159"/>
    </row>
    <row r="611" spans="1:6" x14ac:dyDescent="0.2">
      <c r="A611" s="155"/>
      <c r="B611" s="156"/>
      <c r="C611" s="157"/>
      <c r="D611" s="157"/>
      <c r="E611" s="158"/>
      <c r="F611" s="159"/>
    </row>
    <row r="612" spans="1:6" x14ac:dyDescent="0.2">
      <c r="A612" s="155"/>
      <c r="B612" s="156"/>
      <c r="C612" s="157"/>
      <c r="D612" s="157"/>
      <c r="E612" s="158"/>
      <c r="F612" s="159"/>
    </row>
    <row r="613" spans="1:6" x14ac:dyDescent="0.2">
      <c r="A613" s="155"/>
      <c r="B613" s="156"/>
      <c r="C613" s="157"/>
      <c r="D613" s="157"/>
      <c r="E613" s="158"/>
      <c r="F613" s="159"/>
    </row>
    <row r="614" spans="1:6" x14ac:dyDescent="0.2">
      <c r="A614" s="155"/>
      <c r="B614" s="156"/>
      <c r="C614" s="157"/>
      <c r="D614" s="157"/>
      <c r="E614" s="158"/>
      <c r="F614" s="159"/>
    </row>
    <row r="615" spans="1:6" x14ac:dyDescent="0.2">
      <c r="A615" s="155"/>
      <c r="B615" s="156"/>
      <c r="C615" s="157"/>
      <c r="D615" s="157"/>
      <c r="E615" s="158"/>
      <c r="F615" s="159"/>
    </row>
    <row r="616" spans="1:6" x14ac:dyDescent="0.2">
      <c r="A616" s="155"/>
      <c r="B616" s="156"/>
      <c r="C616" s="157"/>
      <c r="D616" s="157"/>
      <c r="E616" s="158"/>
      <c r="F616" s="159"/>
    </row>
    <row r="617" spans="1:6" x14ac:dyDescent="0.2">
      <c r="A617" s="155"/>
      <c r="B617" s="156"/>
      <c r="C617" s="157"/>
      <c r="D617" s="157"/>
      <c r="E617" s="158"/>
      <c r="F617" s="159"/>
    </row>
    <row r="618" spans="1:6" x14ac:dyDescent="0.2">
      <c r="A618" s="155"/>
      <c r="B618" s="156"/>
      <c r="C618" s="157"/>
      <c r="D618" s="157"/>
      <c r="E618" s="158"/>
      <c r="F618" s="159"/>
    </row>
    <row r="619" spans="1:6" x14ac:dyDescent="0.2">
      <c r="A619" s="155"/>
      <c r="B619" s="156"/>
      <c r="C619" s="157"/>
      <c r="D619" s="157"/>
      <c r="E619" s="158"/>
      <c r="F619" s="159"/>
    </row>
    <row r="620" spans="1:6" x14ac:dyDescent="0.2">
      <c r="A620" s="155"/>
      <c r="B620" s="156"/>
      <c r="C620" s="157"/>
      <c r="D620" s="157"/>
      <c r="E620" s="158"/>
      <c r="F620" s="159"/>
    </row>
    <row r="621" spans="1:6" x14ac:dyDescent="0.2">
      <c r="A621" s="155"/>
      <c r="B621" s="156"/>
      <c r="C621" s="157"/>
      <c r="D621" s="157"/>
      <c r="E621" s="158"/>
      <c r="F621" s="159"/>
    </row>
    <row r="622" spans="1:6" x14ac:dyDescent="0.2">
      <c r="A622" s="155"/>
      <c r="B622" s="156"/>
      <c r="C622" s="157"/>
      <c r="D622" s="157"/>
      <c r="E622" s="158"/>
      <c r="F622" s="159"/>
    </row>
    <row r="623" spans="1:6" x14ac:dyDescent="0.2">
      <c r="A623" s="155"/>
      <c r="B623" s="156"/>
      <c r="C623" s="157"/>
      <c r="D623" s="157"/>
      <c r="E623" s="158"/>
      <c r="F623" s="159"/>
    </row>
    <row r="624" spans="1:6" x14ac:dyDescent="0.2">
      <c r="A624" s="155"/>
      <c r="B624" s="156"/>
      <c r="C624" s="157"/>
      <c r="D624" s="157"/>
      <c r="E624" s="158"/>
      <c r="F624" s="159"/>
    </row>
    <row r="625" spans="1:6" x14ac:dyDescent="0.2">
      <c r="A625" s="155"/>
      <c r="B625" s="156"/>
      <c r="C625" s="157"/>
      <c r="D625" s="157"/>
      <c r="E625" s="158"/>
      <c r="F625" s="159"/>
    </row>
    <row r="626" spans="1:6" x14ac:dyDescent="0.2">
      <c r="A626" s="155"/>
      <c r="B626" s="156"/>
      <c r="C626" s="157"/>
      <c r="D626" s="157"/>
      <c r="E626" s="158"/>
      <c r="F626" s="159"/>
    </row>
    <row r="627" spans="1:6" x14ac:dyDescent="0.2">
      <c r="A627" s="155"/>
      <c r="B627" s="156"/>
      <c r="C627" s="157"/>
      <c r="D627" s="157"/>
      <c r="E627" s="158"/>
      <c r="F627" s="159"/>
    </row>
    <row r="628" spans="1:6" x14ac:dyDescent="0.2">
      <c r="A628" s="155"/>
      <c r="B628" s="156"/>
      <c r="C628" s="157"/>
      <c r="D628" s="157"/>
      <c r="E628" s="158"/>
      <c r="F628" s="159"/>
    </row>
    <row r="629" spans="1:6" x14ac:dyDescent="0.2">
      <c r="A629" s="155"/>
      <c r="B629" s="156"/>
      <c r="C629" s="157"/>
      <c r="D629" s="157"/>
      <c r="E629" s="158"/>
      <c r="F629" s="159"/>
    </row>
    <row r="630" spans="1:6" x14ac:dyDescent="0.2">
      <c r="A630" s="155"/>
      <c r="B630" s="156"/>
      <c r="C630" s="157"/>
      <c r="D630" s="157"/>
      <c r="E630" s="158"/>
      <c r="F630" s="159"/>
    </row>
    <row r="631" spans="1:6" x14ac:dyDescent="0.2">
      <c r="A631" s="155"/>
      <c r="B631" s="156"/>
      <c r="C631" s="157"/>
      <c r="D631" s="157"/>
      <c r="E631" s="158"/>
      <c r="F631" s="159"/>
    </row>
    <row r="632" spans="1:6" x14ac:dyDescent="0.2">
      <c r="A632" s="155"/>
      <c r="B632" s="156"/>
      <c r="C632" s="157"/>
      <c r="D632" s="157"/>
      <c r="E632" s="158"/>
      <c r="F632" s="159"/>
    </row>
    <row r="633" spans="1:6" x14ac:dyDescent="0.2">
      <c r="A633" s="155"/>
      <c r="B633" s="156"/>
      <c r="C633" s="157"/>
      <c r="D633" s="157"/>
      <c r="E633" s="158"/>
      <c r="F633" s="159"/>
    </row>
    <row r="634" spans="1:6" x14ac:dyDescent="0.2">
      <c r="A634" s="155"/>
      <c r="B634" s="156"/>
      <c r="C634" s="157"/>
      <c r="D634" s="157"/>
      <c r="E634" s="158"/>
      <c r="F634" s="159"/>
    </row>
    <row r="635" spans="1:6" x14ac:dyDescent="0.2">
      <c r="A635" s="155"/>
      <c r="B635" s="156"/>
      <c r="C635" s="157"/>
      <c r="D635" s="157"/>
      <c r="E635" s="158"/>
      <c r="F635" s="159"/>
    </row>
    <row r="636" spans="1:6" x14ac:dyDescent="0.2">
      <c r="A636" s="155"/>
      <c r="B636" s="156"/>
      <c r="C636" s="157"/>
      <c r="D636" s="157"/>
      <c r="E636" s="158"/>
      <c r="F636" s="159"/>
    </row>
    <row r="637" spans="1:6" x14ac:dyDescent="0.2">
      <c r="A637" s="155"/>
      <c r="B637" s="156"/>
      <c r="C637" s="157"/>
      <c r="D637" s="157"/>
      <c r="E637" s="158"/>
      <c r="F637" s="159"/>
    </row>
    <row r="638" spans="1:6" x14ac:dyDescent="0.2">
      <c r="A638" s="155"/>
      <c r="B638" s="156"/>
      <c r="C638" s="157"/>
      <c r="D638" s="157"/>
      <c r="E638" s="158"/>
      <c r="F638" s="159"/>
    </row>
    <row r="639" spans="1:6" x14ac:dyDescent="0.2">
      <c r="A639" s="155"/>
      <c r="B639" s="156"/>
      <c r="C639" s="157"/>
      <c r="D639" s="157"/>
      <c r="E639" s="158"/>
      <c r="F639" s="159"/>
    </row>
    <row r="640" spans="1:6" x14ac:dyDescent="0.2">
      <c r="A640" s="155"/>
      <c r="B640" s="156"/>
      <c r="C640" s="157"/>
      <c r="D640" s="157"/>
      <c r="E640" s="158"/>
      <c r="F640" s="159"/>
    </row>
    <row r="641" spans="1:6" x14ac:dyDescent="0.2">
      <c r="A641" s="155"/>
      <c r="B641" s="156"/>
      <c r="C641" s="157"/>
      <c r="D641" s="157"/>
      <c r="E641" s="158"/>
      <c r="F641" s="159"/>
    </row>
    <row r="642" spans="1:6" x14ac:dyDescent="0.2">
      <c r="A642" s="155"/>
      <c r="B642" s="156"/>
      <c r="C642" s="157"/>
      <c r="D642" s="157"/>
      <c r="E642" s="158"/>
      <c r="F642" s="159"/>
    </row>
    <row r="643" spans="1:6" x14ac:dyDescent="0.2">
      <c r="A643" s="155"/>
      <c r="B643" s="156"/>
      <c r="C643" s="157"/>
      <c r="D643" s="157"/>
      <c r="E643" s="158"/>
      <c r="F643" s="159"/>
    </row>
    <row r="644" spans="1:6" x14ac:dyDescent="0.2">
      <c r="A644" s="155"/>
      <c r="B644" s="156"/>
      <c r="C644" s="157"/>
      <c r="D644" s="157"/>
      <c r="E644" s="158"/>
      <c r="F644" s="159"/>
    </row>
    <row r="645" spans="1:6" x14ac:dyDescent="0.2">
      <c r="A645" s="155"/>
      <c r="B645" s="156"/>
      <c r="C645" s="157"/>
      <c r="D645" s="157"/>
      <c r="E645" s="158"/>
      <c r="F645" s="159"/>
    </row>
    <row r="646" spans="1:6" x14ac:dyDescent="0.2">
      <c r="A646" s="155"/>
      <c r="B646" s="156"/>
      <c r="C646" s="157"/>
      <c r="D646" s="157"/>
      <c r="E646" s="158"/>
      <c r="F646" s="159"/>
    </row>
    <row r="647" spans="1:6" x14ac:dyDescent="0.2">
      <c r="A647" s="155"/>
      <c r="B647" s="156"/>
      <c r="C647" s="157"/>
      <c r="D647" s="157"/>
      <c r="E647" s="158"/>
      <c r="F647" s="159"/>
    </row>
    <row r="648" spans="1:6" x14ac:dyDescent="0.2">
      <c r="A648" s="155"/>
      <c r="B648" s="156"/>
      <c r="C648" s="157"/>
      <c r="D648" s="157"/>
      <c r="E648" s="158"/>
      <c r="F648" s="159"/>
    </row>
    <row r="649" spans="1:6" x14ac:dyDescent="0.2">
      <c r="A649" s="155"/>
      <c r="B649" s="156"/>
      <c r="C649" s="157"/>
      <c r="D649" s="157"/>
      <c r="E649" s="158"/>
      <c r="F649" s="159"/>
    </row>
    <row r="650" spans="1:6" x14ac:dyDescent="0.2">
      <c r="A650" s="155"/>
      <c r="B650" s="156"/>
      <c r="C650" s="157"/>
      <c r="D650" s="157"/>
      <c r="E650" s="158"/>
      <c r="F650" s="159"/>
    </row>
    <row r="651" spans="1:6" x14ac:dyDescent="0.2">
      <c r="A651" s="155"/>
      <c r="B651" s="156"/>
      <c r="C651" s="157"/>
      <c r="D651" s="157"/>
      <c r="E651" s="158"/>
      <c r="F651" s="159"/>
    </row>
    <row r="652" spans="1:6" x14ac:dyDescent="0.2">
      <c r="A652" s="155"/>
      <c r="B652" s="156"/>
      <c r="C652" s="157"/>
      <c r="D652" s="157"/>
      <c r="E652" s="158"/>
      <c r="F652" s="159"/>
    </row>
    <row r="653" spans="1:6" x14ac:dyDescent="0.2">
      <c r="A653" s="155"/>
      <c r="B653" s="156"/>
      <c r="C653" s="157"/>
      <c r="D653" s="157"/>
      <c r="E653" s="158"/>
      <c r="F653" s="159"/>
    </row>
    <row r="654" spans="1:6" x14ac:dyDescent="0.2">
      <c r="A654" s="155"/>
      <c r="B654" s="156"/>
      <c r="C654" s="157"/>
      <c r="D654" s="157"/>
      <c r="E654" s="158"/>
      <c r="F654" s="159"/>
    </row>
    <row r="655" spans="1:6" x14ac:dyDescent="0.2">
      <c r="A655" s="155"/>
      <c r="B655" s="156"/>
      <c r="C655" s="157"/>
      <c r="D655" s="157"/>
      <c r="E655" s="158"/>
      <c r="F655" s="159"/>
    </row>
    <row r="656" spans="1:6" x14ac:dyDescent="0.2">
      <c r="A656" s="155"/>
      <c r="B656" s="156"/>
      <c r="C656" s="157"/>
      <c r="D656" s="157"/>
      <c r="E656" s="158"/>
      <c r="F656" s="159"/>
    </row>
    <row r="657" spans="1:6" x14ac:dyDescent="0.2">
      <c r="A657" s="155"/>
      <c r="B657" s="156"/>
      <c r="C657" s="157"/>
      <c r="D657" s="157"/>
      <c r="E657" s="158"/>
      <c r="F657" s="159"/>
    </row>
    <row r="658" spans="1:6" x14ac:dyDescent="0.2">
      <c r="A658" s="155"/>
      <c r="B658" s="156"/>
      <c r="C658" s="157"/>
      <c r="D658" s="157"/>
      <c r="E658" s="158"/>
      <c r="F658" s="159"/>
    </row>
    <row r="659" spans="1:6" x14ac:dyDescent="0.2">
      <c r="A659" s="155"/>
      <c r="B659" s="156"/>
      <c r="C659" s="157"/>
      <c r="D659" s="157"/>
      <c r="E659" s="158"/>
      <c r="F659" s="159"/>
    </row>
    <row r="660" spans="1:6" x14ac:dyDescent="0.2">
      <c r="A660" s="155"/>
      <c r="B660" s="156"/>
      <c r="C660" s="157"/>
      <c r="D660" s="157"/>
      <c r="E660" s="158"/>
      <c r="F660" s="159"/>
    </row>
    <row r="661" spans="1:6" x14ac:dyDescent="0.2">
      <c r="A661" s="155"/>
      <c r="B661" s="156"/>
      <c r="C661" s="157"/>
      <c r="D661" s="157"/>
      <c r="E661" s="158"/>
      <c r="F661" s="159"/>
    </row>
    <row r="662" spans="1:6" x14ac:dyDescent="0.2">
      <c r="A662" s="155"/>
      <c r="B662" s="156"/>
      <c r="C662" s="157"/>
      <c r="D662" s="157"/>
      <c r="E662" s="158"/>
      <c r="F662" s="159"/>
    </row>
    <row r="663" spans="1:6" x14ac:dyDescent="0.2">
      <c r="A663" s="155"/>
      <c r="B663" s="156"/>
      <c r="C663" s="157"/>
      <c r="D663" s="157"/>
      <c r="E663" s="158"/>
      <c r="F663" s="159"/>
    </row>
    <row r="664" spans="1:6" x14ac:dyDescent="0.2">
      <c r="A664" s="155"/>
      <c r="B664" s="156"/>
      <c r="C664" s="157"/>
      <c r="D664" s="157"/>
      <c r="E664" s="158"/>
      <c r="F664" s="159"/>
    </row>
    <row r="665" spans="1:6" x14ac:dyDescent="0.2">
      <c r="A665" s="155"/>
      <c r="B665" s="156"/>
      <c r="C665" s="157"/>
      <c r="D665" s="157"/>
      <c r="E665" s="158"/>
      <c r="F665" s="159"/>
    </row>
    <row r="666" spans="1:6" x14ac:dyDescent="0.2">
      <c r="A666" s="155"/>
      <c r="B666" s="156"/>
      <c r="C666" s="157"/>
      <c r="D666" s="157"/>
      <c r="E666" s="158"/>
      <c r="F666" s="159"/>
    </row>
    <row r="667" spans="1:6" x14ac:dyDescent="0.2">
      <c r="A667" s="155"/>
      <c r="B667" s="156"/>
      <c r="C667" s="157"/>
      <c r="D667" s="157"/>
      <c r="E667" s="158"/>
      <c r="F667" s="159"/>
    </row>
    <row r="668" spans="1:6" x14ac:dyDescent="0.2">
      <c r="A668" s="155"/>
      <c r="B668" s="156"/>
      <c r="C668" s="157"/>
      <c r="D668" s="157"/>
      <c r="E668" s="158"/>
      <c r="F668" s="159"/>
    </row>
    <row r="669" spans="1:6" x14ac:dyDescent="0.2">
      <c r="A669" s="155"/>
      <c r="B669" s="156"/>
      <c r="C669" s="157"/>
      <c r="D669" s="157"/>
      <c r="E669" s="158"/>
      <c r="F669" s="159"/>
    </row>
    <row r="670" spans="1:6" x14ac:dyDescent="0.2">
      <c r="A670" s="155"/>
      <c r="B670" s="156"/>
      <c r="C670" s="157"/>
      <c r="D670" s="157"/>
      <c r="E670" s="158"/>
      <c r="F670" s="159"/>
    </row>
    <row r="671" spans="1:6" x14ac:dyDescent="0.2">
      <c r="A671" s="155"/>
      <c r="B671" s="156"/>
      <c r="C671" s="157"/>
      <c r="D671" s="157"/>
      <c r="E671" s="158"/>
      <c r="F671" s="159"/>
    </row>
    <row r="672" spans="1:6" x14ac:dyDescent="0.2">
      <c r="A672" s="155"/>
      <c r="B672" s="156"/>
      <c r="C672" s="157"/>
      <c r="D672" s="157"/>
      <c r="E672" s="158"/>
      <c r="F672" s="159"/>
    </row>
    <row r="673" spans="1:6" x14ac:dyDescent="0.2">
      <c r="A673" s="155"/>
      <c r="B673" s="156"/>
      <c r="C673" s="157"/>
      <c r="D673" s="157"/>
      <c r="E673" s="158"/>
      <c r="F673" s="159"/>
    </row>
    <row r="674" spans="1:6" x14ac:dyDescent="0.2">
      <c r="A674" s="155"/>
      <c r="B674" s="156"/>
      <c r="C674" s="157"/>
      <c r="D674" s="157"/>
      <c r="E674" s="158"/>
      <c r="F674" s="159"/>
    </row>
    <row r="675" spans="1:6" x14ac:dyDescent="0.2">
      <c r="A675" s="155"/>
      <c r="B675" s="156"/>
      <c r="C675" s="157"/>
      <c r="D675" s="157"/>
      <c r="E675" s="158"/>
      <c r="F675" s="159"/>
    </row>
    <row r="676" spans="1:6" x14ac:dyDescent="0.2">
      <c r="A676" s="155"/>
      <c r="B676" s="156"/>
      <c r="C676" s="157"/>
      <c r="D676" s="157"/>
      <c r="E676" s="158"/>
      <c r="F676" s="159"/>
    </row>
    <row r="677" spans="1:6" x14ac:dyDescent="0.2">
      <c r="A677" s="155"/>
      <c r="B677" s="156"/>
      <c r="C677" s="157"/>
      <c r="D677" s="157"/>
      <c r="E677" s="158"/>
      <c r="F677" s="159"/>
    </row>
    <row r="678" spans="1:6" x14ac:dyDescent="0.2">
      <c r="A678" s="155"/>
      <c r="B678" s="156"/>
      <c r="C678" s="157"/>
      <c r="D678" s="157"/>
      <c r="E678" s="158"/>
      <c r="F678" s="159"/>
    </row>
    <row r="679" spans="1:6" x14ac:dyDescent="0.2">
      <c r="A679" s="155"/>
      <c r="B679" s="156"/>
      <c r="C679" s="157"/>
      <c r="D679" s="157"/>
      <c r="E679" s="158"/>
      <c r="F679" s="159"/>
    </row>
    <row r="680" spans="1:6" x14ac:dyDescent="0.2">
      <c r="A680" s="155"/>
      <c r="B680" s="156"/>
      <c r="C680" s="157"/>
      <c r="D680" s="157"/>
      <c r="E680" s="158"/>
      <c r="F680" s="159"/>
    </row>
    <row r="681" spans="1:6" x14ac:dyDescent="0.2">
      <c r="A681" s="155"/>
      <c r="B681" s="156"/>
      <c r="C681" s="157"/>
      <c r="D681" s="157"/>
      <c r="E681" s="158"/>
      <c r="F681" s="159"/>
    </row>
    <row r="682" spans="1:6" x14ac:dyDescent="0.2">
      <c r="A682" s="155"/>
      <c r="B682" s="156"/>
      <c r="C682" s="157"/>
      <c r="D682" s="157"/>
      <c r="E682" s="158"/>
      <c r="F682" s="159"/>
    </row>
    <row r="683" spans="1:6" x14ac:dyDescent="0.2">
      <c r="A683" s="155"/>
      <c r="B683" s="156"/>
      <c r="C683" s="157"/>
      <c r="D683" s="157"/>
      <c r="E683" s="158"/>
      <c r="F683" s="159"/>
    </row>
    <row r="684" spans="1:6" x14ac:dyDescent="0.2">
      <c r="A684" s="155"/>
      <c r="B684" s="156"/>
      <c r="C684" s="157"/>
      <c r="D684" s="157"/>
      <c r="E684" s="158"/>
      <c r="F684" s="159"/>
    </row>
    <row r="685" spans="1:6" x14ac:dyDescent="0.2">
      <c r="A685" s="155"/>
      <c r="B685" s="156"/>
      <c r="C685" s="157"/>
      <c r="D685" s="157"/>
      <c r="E685" s="158"/>
      <c r="F685" s="159"/>
    </row>
    <row r="686" spans="1:6" x14ac:dyDescent="0.2">
      <c r="A686" s="155"/>
      <c r="B686" s="156"/>
      <c r="C686" s="157"/>
      <c r="D686" s="157"/>
      <c r="E686" s="158"/>
      <c r="F686" s="159"/>
    </row>
    <row r="687" spans="1:6" x14ac:dyDescent="0.2">
      <c r="A687" s="155"/>
      <c r="B687" s="156"/>
      <c r="C687" s="157"/>
      <c r="D687" s="157"/>
      <c r="E687" s="158"/>
      <c r="F687" s="159"/>
    </row>
    <row r="688" spans="1:6" x14ac:dyDescent="0.2">
      <c r="A688" s="155"/>
      <c r="B688" s="156"/>
      <c r="C688" s="157"/>
      <c r="D688" s="157"/>
      <c r="E688" s="158"/>
      <c r="F688" s="159"/>
    </row>
    <row r="689" spans="1:6" x14ac:dyDescent="0.2">
      <c r="A689" s="155"/>
      <c r="B689" s="156"/>
      <c r="C689" s="157"/>
      <c r="D689" s="157"/>
      <c r="E689" s="158"/>
      <c r="F689" s="159"/>
    </row>
    <row r="690" spans="1:6" x14ac:dyDescent="0.2">
      <c r="A690" s="155"/>
      <c r="B690" s="156"/>
      <c r="C690" s="157"/>
      <c r="D690" s="157"/>
      <c r="E690" s="158"/>
      <c r="F690" s="159"/>
    </row>
    <row r="691" spans="1:6" x14ac:dyDescent="0.2">
      <c r="A691" s="155"/>
      <c r="B691" s="156"/>
      <c r="C691" s="157"/>
      <c r="D691" s="157"/>
      <c r="E691" s="158"/>
      <c r="F691" s="159"/>
    </row>
    <row r="692" spans="1:6" x14ac:dyDescent="0.2">
      <c r="A692" s="155"/>
      <c r="B692" s="156"/>
      <c r="C692" s="157"/>
      <c r="D692" s="157"/>
      <c r="E692" s="158"/>
      <c r="F692" s="159"/>
    </row>
    <row r="693" spans="1:6" x14ac:dyDescent="0.2">
      <c r="A693" s="155"/>
      <c r="B693" s="156"/>
      <c r="C693" s="157"/>
      <c r="D693" s="157"/>
      <c r="E693" s="158"/>
      <c r="F693" s="159"/>
    </row>
    <row r="694" spans="1:6" x14ac:dyDescent="0.2">
      <c r="A694" s="155"/>
      <c r="B694" s="156"/>
      <c r="C694" s="157"/>
      <c r="D694" s="157"/>
      <c r="E694" s="158"/>
      <c r="F694" s="159"/>
    </row>
    <row r="695" spans="1:6" x14ac:dyDescent="0.2">
      <c r="A695" s="155"/>
      <c r="B695" s="156"/>
      <c r="C695" s="157"/>
      <c r="D695" s="157"/>
      <c r="E695" s="158"/>
      <c r="F695" s="159"/>
    </row>
    <row r="696" spans="1:6" x14ac:dyDescent="0.2">
      <c r="A696" s="155"/>
      <c r="B696" s="156"/>
      <c r="C696" s="157"/>
      <c r="D696" s="157"/>
      <c r="E696" s="158"/>
      <c r="F696" s="159"/>
    </row>
    <row r="697" spans="1:6" x14ac:dyDescent="0.2">
      <c r="A697" s="155"/>
      <c r="B697" s="156"/>
      <c r="C697" s="157"/>
      <c r="D697" s="157"/>
      <c r="E697" s="158"/>
      <c r="F697" s="159"/>
    </row>
    <row r="698" spans="1:6" x14ac:dyDescent="0.2">
      <c r="A698" s="155"/>
      <c r="B698" s="156"/>
      <c r="C698" s="157"/>
      <c r="D698" s="157"/>
      <c r="E698" s="158"/>
      <c r="F698" s="159"/>
    </row>
    <row r="699" spans="1:6" x14ac:dyDescent="0.2">
      <c r="A699" s="155"/>
      <c r="B699" s="156"/>
      <c r="C699" s="157"/>
      <c r="D699" s="157"/>
      <c r="E699" s="158"/>
      <c r="F699" s="159"/>
    </row>
    <row r="700" spans="1:6" x14ac:dyDescent="0.2">
      <c r="A700" s="155"/>
      <c r="B700" s="156"/>
      <c r="C700" s="157"/>
      <c r="D700" s="157"/>
      <c r="E700" s="158"/>
      <c r="F700" s="159"/>
    </row>
    <row r="701" spans="1:6" x14ac:dyDescent="0.2">
      <c r="A701" s="155"/>
      <c r="B701" s="156"/>
      <c r="C701" s="157"/>
      <c r="D701" s="157"/>
      <c r="E701" s="158"/>
      <c r="F701" s="159"/>
    </row>
    <row r="702" spans="1:6" x14ac:dyDescent="0.2">
      <c r="A702" s="155"/>
      <c r="B702" s="156"/>
      <c r="C702" s="157"/>
      <c r="D702" s="157"/>
      <c r="E702" s="158"/>
      <c r="F702" s="159"/>
    </row>
    <row r="703" spans="1:6" x14ac:dyDescent="0.2">
      <c r="A703" s="155"/>
      <c r="B703" s="156"/>
      <c r="C703" s="157"/>
      <c r="D703" s="157"/>
      <c r="E703" s="158"/>
      <c r="F703" s="159"/>
    </row>
    <row r="704" spans="1:6" x14ac:dyDescent="0.2">
      <c r="A704" s="155"/>
      <c r="B704" s="156"/>
      <c r="C704" s="157"/>
      <c r="D704" s="157"/>
      <c r="E704" s="158"/>
      <c r="F704" s="159"/>
    </row>
    <row r="705" spans="1:6" x14ac:dyDescent="0.2">
      <c r="A705" s="155"/>
      <c r="B705" s="156"/>
      <c r="C705" s="157"/>
      <c r="D705" s="157"/>
      <c r="E705" s="158"/>
      <c r="F705" s="159"/>
    </row>
    <row r="706" spans="1:6" x14ac:dyDescent="0.2">
      <c r="A706" s="155"/>
      <c r="B706" s="156"/>
      <c r="C706" s="157"/>
      <c r="D706" s="157"/>
      <c r="E706" s="158"/>
      <c r="F706" s="159"/>
    </row>
    <row r="707" spans="1:6" x14ac:dyDescent="0.2">
      <c r="A707" s="155"/>
      <c r="B707" s="156"/>
      <c r="C707" s="157"/>
      <c r="D707" s="157"/>
      <c r="E707" s="158"/>
      <c r="F707" s="159"/>
    </row>
    <row r="708" spans="1:6" x14ac:dyDescent="0.2">
      <c r="A708" s="155"/>
      <c r="B708" s="156"/>
      <c r="C708" s="157"/>
      <c r="D708" s="157"/>
      <c r="E708" s="158"/>
      <c r="F708" s="159"/>
    </row>
    <row r="709" spans="1:6" x14ac:dyDescent="0.2">
      <c r="A709" s="155"/>
      <c r="B709" s="156"/>
      <c r="C709" s="157"/>
      <c r="D709" s="157"/>
      <c r="E709" s="158"/>
      <c r="F709" s="159"/>
    </row>
    <row r="710" spans="1:6" x14ac:dyDescent="0.2">
      <c r="A710" s="155"/>
      <c r="B710" s="156"/>
      <c r="C710" s="157"/>
      <c r="D710" s="157"/>
      <c r="E710" s="158"/>
      <c r="F710" s="159"/>
    </row>
    <row r="711" spans="1:6" x14ac:dyDescent="0.2">
      <c r="A711" s="155"/>
      <c r="B711" s="156"/>
      <c r="C711" s="157"/>
      <c r="D711" s="157"/>
      <c r="E711" s="158"/>
      <c r="F711" s="159"/>
    </row>
    <row r="712" spans="1:6" x14ac:dyDescent="0.2">
      <c r="A712" s="155"/>
      <c r="B712" s="156"/>
      <c r="C712" s="157"/>
      <c r="D712" s="157"/>
      <c r="E712" s="158"/>
      <c r="F712" s="159"/>
    </row>
    <row r="713" spans="1:6" x14ac:dyDescent="0.2">
      <c r="A713" s="155"/>
      <c r="B713" s="156"/>
      <c r="C713" s="157"/>
      <c r="D713" s="157"/>
      <c r="E713" s="158"/>
      <c r="F713" s="159"/>
    </row>
    <row r="714" spans="1:6" x14ac:dyDescent="0.2">
      <c r="A714" s="155"/>
      <c r="B714" s="156"/>
      <c r="C714" s="157"/>
      <c r="D714" s="157"/>
      <c r="E714" s="158"/>
      <c r="F714" s="159"/>
    </row>
    <row r="715" spans="1:6" x14ac:dyDescent="0.2">
      <c r="A715" s="155"/>
      <c r="B715" s="156"/>
      <c r="C715" s="157"/>
      <c r="D715" s="157"/>
      <c r="E715" s="158"/>
      <c r="F715" s="159"/>
    </row>
    <row r="716" spans="1:6" x14ac:dyDescent="0.2">
      <c r="A716" s="155"/>
      <c r="B716" s="156"/>
      <c r="C716" s="157"/>
      <c r="D716" s="157"/>
      <c r="E716" s="158"/>
      <c r="F716" s="159"/>
    </row>
    <row r="717" spans="1:6" x14ac:dyDescent="0.2">
      <c r="A717" s="155"/>
      <c r="B717" s="156"/>
      <c r="C717" s="157"/>
      <c r="D717" s="157"/>
      <c r="E717" s="158"/>
      <c r="F717" s="159"/>
    </row>
    <row r="718" spans="1:6" x14ac:dyDescent="0.2">
      <c r="A718" s="155"/>
      <c r="B718" s="156"/>
      <c r="C718" s="157"/>
      <c r="D718" s="157"/>
      <c r="E718" s="158"/>
      <c r="F718" s="159"/>
    </row>
    <row r="719" spans="1:6" x14ac:dyDescent="0.2">
      <c r="A719" s="155"/>
      <c r="B719" s="156"/>
      <c r="C719" s="157"/>
      <c r="D719" s="157"/>
      <c r="E719" s="158"/>
      <c r="F719" s="159"/>
    </row>
    <row r="720" spans="1:6" x14ac:dyDescent="0.2">
      <c r="A720" s="155"/>
      <c r="B720" s="156"/>
      <c r="C720" s="157"/>
      <c r="D720" s="157"/>
      <c r="E720" s="158"/>
      <c r="F720" s="159"/>
    </row>
    <row r="721" spans="1:6" x14ac:dyDescent="0.2">
      <c r="A721" s="155"/>
      <c r="B721" s="156"/>
      <c r="C721" s="157"/>
      <c r="D721" s="157"/>
      <c r="E721" s="158"/>
      <c r="F721" s="159"/>
    </row>
    <row r="722" spans="1:6" x14ac:dyDescent="0.2">
      <c r="A722" s="155"/>
      <c r="B722" s="156"/>
      <c r="C722" s="157"/>
      <c r="D722" s="157"/>
      <c r="E722" s="158"/>
      <c r="F722" s="159"/>
    </row>
    <row r="723" spans="1:6" x14ac:dyDescent="0.2">
      <c r="A723" s="155"/>
      <c r="B723" s="156"/>
      <c r="C723" s="157"/>
      <c r="D723" s="157"/>
      <c r="E723" s="158"/>
      <c r="F723" s="159"/>
    </row>
    <row r="724" spans="1:6" x14ac:dyDescent="0.2">
      <c r="A724" s="155"/>
      <c r="B724" s="156"/>
      <c r="C724" s="157"/>
      <c r="D724" s="157"/>
      <c r="E724" s="158"/>
      <c r="F724" s="159"/>
    </row>
    <row r="725" spans="1:6" x14ac:dyDescent="0.2">
      <c r="A725" s="155"/>
      <c r="B725" s="156"/>
      <c r="C725" s="157"/>
      <c r="D725" s="157"/>
      <c r="E725" s="158"/>
      <c r="F725" s="159"/>
    </row>
    <row r="726" spans="1:6" x14ac:dyDescent="0.2">
      <c r="A726" s="155"/>
      <c r="B726" s="156"/>
      <c r="C726" s="157"/>
      <c r="D726" s="157"/>
      <c r="E726" s="158"/>
      <c r="F726" s="159"/>
    </row>
    <row r="727" spans="1:6" x14ac:dyDescent="0.2">
      <c r="A727" s="155"/>
      <c r="B727" s="156"/>
      <c r="C727" s="157"/>
      <c r="D727" s="157"/>
      <c r="E727" s="158"/>
      <c r="F727" s="159"/>
    </row>
    <row r="728" spans="1:6" x14ac:dyDescent="0.2">
      <c r="A728" s="155"/>
      <c r="B728" s="156"/>
      <c r="C728" s="157"/>
      <c r="D728" s="157"/>
      <c r="E728" s="158"/>
      <c r="F728" s="159"/>
    </row>
    <row r="729" spans="1:6" x14ac:dyDescent="0.2">
      <c r="A729" s="155"/>
      <c r="B729" s="156"/>
      <c r="C729" s="157"/>
      <c r="D729" s="157"/>
      <c r="E729" s="158"/>
      <c r="F729" s="159"/>
    </row>
    <row r="730" spans="1:6" x14ac:dyDescent="0.2">
      <c r="A730" s="155"/>
      <c r="B730" s="156"/>
      <c r="C730" s="157"/>
      <c r="D730" s="157"/>
      <c r="E730" s="158"/>
      <c r="F730" s="159"/>
    </row>
    <row r="731" spans="1:6" x14ac:dyDescent="0.2">
      <c r="A731" s="155"/>
      <c r="B731" s="156"/>
      <c r="C731" s="157"/>
      <c r="D731" s="157"/>
      <c r="E731" s="158"/>
      <c r="F731" s="159"/>
    </row>
    <row r="732" spans="1:6" x14ac:dyDescent="0.2">
      <c r="A732" s="155"/>
      <c r="B732" s="156"/>
      <c r="C732" s="157"/>
      <c r="D732" s="157"/>
      <c r="E732" s="158"/>
      <c r="F732" s="159"/>
    </row>
    <row r="733" spans="1:6" x14ac:dyDescent="0.2">
      <c r="A733" s="155"/>
      <c r="B733" s="156"/>
      <c r="C733" s="157"/>
      <c r="D733" s="157"/>
      <c r="E733" s="158"/>
      <c r="F733" s="159"/>
    </row>
    <row r="734" spans="1:6" x14ac:dyDescent="0.2">
      <c r="A734" s="155"/>
      <c r="B734" s="156"/>
      <c r="C734" s="157"/>
      <c r="D734" s="157"/>
      <c r="E734" s="158"/>
      <c r="F734" s="159"/>
    </row>
    <row r="735" spans="1:6" x14ac:dyDescent="0.2">
      <c r="A735" s="155"/>
      <c r="B735" s="156"/>
      <c r="C735" s="157"/>
      <c r="D735" s="157"/>
      <c r="E735" s="158"/>
      <c r="F735" s="159"/>
    </row>
    <row r="736" spans="1:6" x14ac:dyDescent="0.2">
      <c r="A736" s="155"/>
      <c r="B736" s="156"/>
      <c r="C736" s="157"/>
      <c r="D736" s="157"/>
      <c r="E736" s="158"/>
      <c r="F736" s="159"/>
    </row>
    <row r="737" spans="1:6" x14ac:dyDescent="0.2">
      <c r="A737" s="155"/>
      <c r="B737" s="156"/>
      <c r="C737" s="157"/>
      <c r="D737" s="157"/>
      <c r="E737" s="158"/>
      <c r="F737" s="159"/>
    </row>
    <row r="738" spans="1:6" x14ac:dyDescent="0.2">
      <c r="A738" s="155"/>
      <c r="B738" s="156"/>
      <c r="C738" s="157"/>
      <c r="D738" s="157"/>
      <c r="E738" s="158"/>
      <c r="F738" s="159"/>
    </row>
    <row r="739" spans="1:6" x14ac:dyDescent="0.2">
      <c r="A739" s="155"/>
      <c r="B739" s="156"/>
      <c r="C739" s="157"/>
      <c r="D739" s="157"/>
      <c r="E739" s="158"/>
      <c r="F739" s="159"/>
    </row>
    <row r="740" spans="1:6" x14ac:dyDescent="0.2">
      <c r="A740" s="155"/>
      <c r="B740" s="156"/>
      <c r="C740" s="157"/>
      <c r="D740" s="157"/>
      <c r="E740" s="158"/>
      <c r="F740" s="159"/>
    </row>
    <row r="741" spans="1:6" x14ac:dyDescent="0.2">
      <c r="A741" s="155"/>
      <c r="B741" s="156"/>
      <c r="C741" s="157"/>
      <c r="D741" s="157"/>
      <c r="E741" s="158"/>
      <c r="F741" s="159"/>
    </row>
    <row r="742" spans="1:6" x14ac:dyDescent="0.2">
      <c r="A742" s="155"/>
      <c r="B742" s="156"/>
      <c r="C742" s="157"/>
      <c r="D742" s="157"/>
      <c r="E742" s="158"/>
      <c r="F742" s="159"/>
    </row>
    <row r="743" spans="1:6" x14ac:dyDescent="0.2">
      <c r="A743" s="155"/>
      <c r="B743" s="156"/>
      <c r="C743" s="157"/>
      <c r="D743" s="157"/>
      <c r="E743" s="158"/>
      <c r="F743" s="159"/>
    </row>
    <row r="744" spans="1:6" x14ac:dyDescent="0.2">
      <c r="A744" s="155"/>
      <c r="B744" s="156"/>
      <c r="C744" s="157"/>
      <c r="D744" s="157"/>
      <c r="E744" s="158"/>
      <c r="F744" s="159"/>
    </row>
    <row r="745" spans="1:6" x14ac:dyDescent="0.2">
      <c r="A745" s="155"/>
      <c r="B745" s="156"/>
      <c r="C745" s="157"/>
      <c r="D745" s="157"/>
      <c r="E745" s="158"/>
      <c r="F745" s="159"/>
    </row>
    <row r="746" spans="1:6" x14ac:dyDescent="0.2">
      <c r="A746" s="155"/>
      <c r="B746" s="156"/>
      <c r="C746" s="157"/>
      <c r="D746" s="157"/>
      <c r="E746" s="158"/>
      <c r="F746" s="159"/>
    </row>
    <row r="747" spans="1:6" x14ac:dyDescent="0.2">
      <c r="A747" s="155"/>
      <c r="B747" s="156"/>
      <c r="C747" s="157"/>
      <c r="D747" s="157"/>
      <c r="E747" s="158"/>
      <c r="F747" s="159"/>
    </row>
    <row r="748" spans="1:6" x14ac:dyDescent="0.2">
      <c r="A748" s="155"/>
      <c r="B748" s="156"/>
      <c r="C748" s="157"/>
      <c r="D748" s="157"/>
      <c r="E748" s="158"/>
      <c r="F748" s="159"/>
    </row>
    <row r="749" spans="1:6" x14ac:dyDescent="0.2">
      <c r="A749" s="155"/>
      <c r="B749" s="156"/>
      <c r="C749" s="157"/>
      <c r="D749" s="157"/>
      <c r="E749" s="158"/>
      <c r="F749" s="159"/>
    </row>
    <row r="750" spans="1:6" x14ac:dyDescent="0.2">
      <c r="A750" s="155"/>
      <c r="B750" s="156"/>
      <c r="C750" s="157"/>
      <c r="D750" s="157"/>
      <c r="E750" s="158"/>
      <c r="F750" s="159"/>
    </row>
    <row r="751" spans="1:6" x14ac:dyDescent="0.2">
      <c r="A751" s="155"/>
      <c r="B751" s="156"/>
      <c r="C751" s="157"/>
      <c r="D751" s="157"/>
      <c r="E751" s="158"/>
      <c r="F751" s="159"/>
    </row>
    <row r="752" spans="1:6" x14ac:dyDescent="0.2">
      <c r="A752" s="155"/>
      <c r="B752" s="156"/>
      <c r="C752" s="157"/>
      <c r="D752" s="157"/>
      <c r="E752" s="158"/>
      <c r="F752" s="159"/>
    </row>
    <row r="753" spans="1:6" x14ac:dyDescent="0.2">
      <c r="A753" s="155"/>
      <c r="B753" s="156"/>
      <c r="C753" s="157"/>
      <c r="D753" s="157"/>
      <c r="E753" s="158"/>
      <c r="F753" s="159"/>
    </row>
    <row r="754" spans="1:6" x14ac:dyDescent="0.2">
      <c r="A754" s="155"/>
      <c r="B754" s="156"/>
      <c r="C754" s="157"/>
      <c r="D754" s="157"/>
      <c r="E754" s="158"/>
      <c r="F754" s="159"/>
    </row>
    <row r="755" spans="1:6" x14ac:dyDescent="0.2">
      <c r="A755" s="155"/>
      <c r="B755" s="156"/>
      <c r="C755" s="157"/>
      <c r="D755" s="157"/>
      <c r="E755" s="158"/>
      <c r="F755" s="159"/>
    </row>
    <row r="756" spans="1:6" x14ac:dyDescent="0.2">
      <c r="A756" s="155"/>
      <c r="B756" s="156"/>
      <c r="C756" s="157"/>
      <c r="D756" s="157"/>
      <c r="E756" s="158"/>
      <c r="F756" s="159"/>
    </row>
    <row r="757" spans="1:6" x14ac:dyDescent="0.2">
      <c r="A757" s="155"/>
      <c r="B757" s="156"/>
      <c r="C757" s="157"/>
      <c r="D757" s="157"/>
      <c r="E757" s="158"/>
      <c r="F757" s="159"/>
    </row>
    <row r="758" spans="1:6" x14ac:dyDescent="0.2">
      <c r="A758" s="155"/>
      <c r="B758" s="156"/>
      <c r="C758" s="157"/>
      <c r="D758" s="157"/>
      <c r="E758" s="158"/>
      <c r="F758" s="159"/>
    </row>
    <row r="759" spans="1:6" x14ac:dyDescent="0.2">
      <c r="A759" s="155"/>
      <c r="B759" s="156"/>
      <c r="C759" s="157"/>
      <c r="D759" s="157"/>
      <c r="E759" s="158"/>
      <c r="F759" s="159"/>
    </row>
    <row r="760" spans="1:6" x14ac:dyDescent="0.2">
      <c r="A760" s="155"/>
      <c r="B760" s="156"/>
      <c r="C760" s="157"/>
      <c r="D760" s="157"/>
      <c r="E760" s="158"/>
      <c r="F760" s="159"/>
    </row>
    <row r="761" spans="1:6" x14ac:dyDescent="0.2">
      <c r="A761" s="155"/>
      <c r="B761" s="156"/>
      <c r="C761" s="157"/>
      <c r="D761" s="157"/>
      <c r="E761" s="158"/>
      <c r="F761" s="159"/>
    </row>
    <row r="762" spans="1:6" x14ac:dyDescent="0.2">
      <c r="A762" s="155"/>
      <c r="B762" s="156"/>
      <c r="C762" s="157"/>
      <c r="D762" s="157"/>
      <c r="E762" s="158"/>
      <c r="F762" s="159"/>
    </row>
    <row r="763" spans="1:6" x14ac:dyDescent="0.2">
      <c r="A763" s="155"/>
      <c r="B763" s="156"/>
      <c r="C763" s="157"/>
      <c r="D763" s="157"/>
      <c r="E763" s="158"/>
      <c r="F763" s="159"/>
    </row>
    <row r="764" spans="1:6" x14ac:dyDescent="0.2">
      <c r="A764" s="155"/>
      <c r="B764" s="156"/>
      <c r="C764" s="157"/>
      <c r="D764" s="157"/>
      <c r="E764" s="158"/>
      <c r="F764" s="159"/>
    </row>
    <row r="765" spans="1:6" x14ac:dyDescent="0.2">
      <c r="A765" s="155"/>
      <c r="B765" s="156"/>
      <c r="C765" s="157"/>
      <c r="D765" s="157"/>
      <c r="E765" s="158"/>
      <c r="F765" s="159"/>
    </row>
    <row r="766" spans="1:6" x14ac:dyDescent="0.2">
      <c r="A766" s="155"/>
      <c r="B766" s="156"/>
      <c r="C766" s="157"/>
      <c r="D766" s="157"/>
      <c r="E766" s="158"/>
      <c r="F766" s="159"/>
    </row>
    <row r="767" spans="1:6" x14ac:dyDescent="0.2">
      <c r="A767" s="155"/>
      <c r="B767" s="156"/>
      <c r="C767" s="157"/>
      <c r="D767" s="157"/>
      <c r="E767" s="158"/>
      <c r="F767" s="159"/>
    </row>
    <row r="768" spans="1:6" x14ac:dyDescent="0.2">
      <c r="A768" s="155"/>
      <c r="B768" s="156"/>
      <c r="C768" s="157"/>
      <c r="D768" s="157"/>
      <c r="E768" s="158"/>
      <c r="F768" s="159"/>
    </row>
    <row r="769" spans="1:6" x14ac:dyDescent="0.2">
      <c r="A769" s="155"/>
      <c r="B769" s="156"/>
      <c r="C769" s="157"/>
      <c r="D769" s="157"/>
      <c r="E769" s="158"/>
      <c r="F769" s="159"/>
    </row>
    <row r="770" spans="1:6" x14ac:dyDescent="0.2">
      <c r="A770" s="155"/>
      <c r="B770" s="156"/>
      <c r="C770" s="157"/>
      <c r="D770" s="157"/>
      <c r="E770" s="158"/>
      <c r="F770" s="159"/>
    </row>
    <row r="771" spans="1:6" x14ac:dyDescent="0.2">
      <c r="A771" s="155"/>
      <c r="B771" s="156"/>
      <c r="C771" s="157"/>
      <c r="D771" s="157"/>
      <c r="E771" s="158"/>
      <c r="F771" s="159"/>
    </row>
    <row r="772" spans="1:6" x14ac:dyDescent="0.2">
      <c r="A772" s="155"/>
      <c r="B772" s="156"/>
      <c r="C772" s="157"/>
      <c r="D772" s="157"/>
      <c r="E772" s="158"/>
      <c r="F772" s="159"/>
    </row>
    <row r="773" spans="1:6" x14ac:dyDescent="0.2">
      <c r="A773" s="155"/>
      <c r="B773" s="156"/>
      <c r="C773" s="157"/>
      <c r="D773" s="157"/>
      <c r="E773" s="158"/>
      <c r="F773" s="159"/>
    </row>
    <row r="774" spans="1:6" x14ac:dyDescent="0.2">
      <c r="A774" s="155"/>
      <c r="B774" s="156"/>
      <c r="C774" s="157"/>
      <c r="D774" s="157"/>
      <c r="E774" s="158"/>
      <c r="F774" s="159"/>
    </row>
    <row r="775" spans="1:6" x14ac:dyDescent="0.2">
      <c r="A775" s="155"/>
      <c r="B775" s="156"/>
      <c r="C775" s="157"/>
      <c r="D775" s="157"/>
      <c r="E775" s="158"/>
      <c r="F775" s="159"/>
    </row>
    <row r="776" spans="1:6" x14ac:dyDescent="0.2">
      <c r="A776" s="155"/>
      <c r="B776" s="156"/>
      <c r="C776" s="157"/>
      <c r="D776" s="157"/>
      <c r="E776" s="158"/>
      <c r="F776" s="159"/>
    </row>
    <row r="777" spans="1:6" x14ac:dyDescent="0.2">
      <c r="A777" s="155"/>
      <c r="B777" s="156"/>
      <c r="C777" s="157"/>
      <c r="D777" s="157"/>
      <c r="E777" s="158"/>
      <c r="F777" s="159"/>
    </row>
    <row r="778" spans="1:6" x14ac:dyDescent="0.2">
      <c r="A778" s="155"/>
      <c r="B778" s="156"/>
      <c r="C778" s="157"/>
      <c r="D778" s="157"/>
      <c r="E778" s="158"/>
      <c r="F778" s="159"/>
    </row>
    <row r="779" spans="1:6" x14ac:dyDescent="0.2">
      <c r="A779" s="155"/>
      <c r="B779" s="156"/>
      <c r="C779" s="157"/>
      <c r="D779" s="157"/>
      <c r="E779" s="158"/>
      <c r="F779" s="159"/>
    </row>
    <row r="780" spans="1:6" x14ac:dyDescent="0.2">
      <c r="A780" s="155"/>
      <c r="B780" s="156"/>
      <c r="C780" s="157"/>
      <c r="D780" s="157"/>
      <c r="E780" s="158"/>
      <c r="F780" s="159"/>
    </row>
    <row r="781" spans="1:6" x14ac:dyDescent="0.2">
      <c r="A781" s="155"/>
      <c r="B781" s="156"/>
      <c r="C781" s="157"/>
      <c r="D781" s="157"/>
      <c r="E781" s="158"/>
      <c r="F781" s="159"/>
    </row>
    <row r="782" spans="1:6" x14ac:dyDescent="0.2">
      <c r="A782" s="155"/>
      <c r="B782" s="156"/>
      <c r="C782" s="157"/>
      <c r="D782" s="157"/>
      <c r="E782" s="158"/>
      <c r="F782" s="159"/>
    </row>
    <row r="783" spans="1:6" x14ac:dyDescent="0.2">
      <c r="A783" s="155"/>
      <c r="B783" s="156"/>
      <c r="C783" s="157"/>
      <c r="D783" s="157"/>
      <c r="E783" s="158"/>
      <c r="F783" s="159"/>
    </row>
    <row r="784" spans="1:6" x14ac:dyDescent="0.2">
      <c r="A784" s="155"/>
      <c r="B784" s="156"/>
      <c r="C784" s="157"/>
      <c r="D784" s="157"/>
      <c r="E784" s="158"/>
      <c r="F784" s="159"/>
    </row>
    <row r="785" spans="1:6" x14ac:dyDescent="0.2">
      <c r="A785" s="155"/>
      <c r="B785" s="156"/>
      <c r="C785" s="157"/>
      <c r="D785" s="157"/>
      <c r="E785" s="158"/>
      <c r="F785" s="159"/>
    </row>
    <row r="786" spans="1:6" x14ac:dyDescent="0.2">
      <c r="A786" s="155"/>
      <c r="B786" s="156"/>
      <c r="C786" s="157"/>
      <c r="D786" s="157"/>
      <c r="E786" s="158"/>
      <c r="F786" s="159"/>
    </row>
    <row r="787" spans="1:6" x14ac:dyDescent="0.2">
      <c r="A787" s="155"/>
      <c r="B787" s="156"/>
      <c r="C787" s="157"/>
      <c r="D787" s="157"/>
      <c r="E787" s="158"/>
      <c r="F787" s="159"/>
    </row>
    <row r="788" spans="1:6" x14ac:dyDescent="0.2">
      <c r="A788" s="155"/>
      <c r="B788" s="156"/>
      <c r="C788" s="157"/>
      <c r="D788" s="157"/>
      <c r="E788" s="158"/>
      <c r="F788" s="159"/>
    </row>
    <row r="789" spans="1:6" x14ac:dyDescent="0.2">
      <c r="A789" s="155"/>
      <c r="B789" s="156"/>
      <c r="C789" s="157"/>
      <c r="D789" s="157"/>
      <c r="E789" s="158"/>
      <c r="F789" s="159"/>
    </row>
    <row r="790" spans="1:6" x14ac:dyDescent="0.2">
      <c r="A790" s="155"/>
      <c r="B790" s="156"/>
      <c r="C790" s="157"/>
      <c r="D790" s="157"/>
      <c r="E790" s="158"/>
      <c r="F790" s="159"/>
    </row>
    <row r="791" spans="1:6" x14ac:dyDescent="0.2">
      <c r="A791" s="155"/>
      <c r="B791" s="156"/>
      <c r="C791" s="157"/>
      <c r="D791" s="157"/>
      <c r="E791" s="158"/>
      <c r="F791" s="159"/>
    </row>
    <row r="792" spans="1:6" x14ac:dyDescent="0.2">
      <c r="A792" s="155"/>
      <c r="B792" s="156"/>
      <c r="C792" s="157"/>
      <c r="D792" s="157"/>
      <c r="E792" s="158"/>
      <c r="F792" s="159"/>
    </row>
    <row r="793" spans="1:6" x14ac:dyDescent="0.2">
      <c r="A793" s="155"/>
      <c r="B793" s="156"/>
      <c r="C793" s="157"/>
      <c r="D793" s="157"/>
      <c r="E793" s="158"/>
      <c r="F793" s="159"/>
    </row>
    <row r="794" spans="1:6" x14ac:dyDescent="0.2">
      <c r="A794" s="155"/>
      <c r="B794" s="156"/>
      <c r="C794" s="157"/>
      <c r="D794" s="157"/>
      <c r="E794" s="158"/>
      <c r="F794" s="159"/>
    </row>
    <row r="795" spans="1:6" x14ac:dyDescent="0.2">
      <c r="A795" s="155"/>
      <c r="B795" s="156"/>
      <c r="C795" s="157"/>
      <c r="D795" s="157"/>
      <c r="E795" s="158"/>
      <c r="F795" s="159"/>
    </row>
    <row r="796" spans="1:6" x14ac:dyDescent="0.2">
      <c r="A796" s="155"/>
      <c r="B796" s="156"/>
      <c r="C796" s="157"/>
      <c r="D796" s="157"/>
      <c r="E796" s="158"/>
      <c r="F796" s="159"/>
    </row>
    <row r="797" spans="1:6" x14ac:dyDescent="0.2">
      <c r="A797" s="155"/>
      <c r="B797" s="156"/>
      <c r="C797" s="157"/>
      <c r="D797" s="157"/>
      <c r="E797" s="158"/>
      <c r="F797" s="159"/>
    </row>
    <row r="798" spans="1:6" x14ac:dyDescent="0.2">
      <c r="A798" s="155"/>
      <c r="B798" s="156"/>
      <c r="C798" s="157"/>
      <c r="D798" s="157"/>
      <c r="E798" s="158"/>
      <c r="F798" s="159"/>
    </row>
    <row r="799" spans="1:6" x14ac:dyDescent="0.2">
      <c r="A799" s="155"/>
      <c r="B799" s="156"/>
      <c r="C799" s="157"/>
      <c r="D799" s="157"/>
      <c r="E799" s="158"/>
      <c r="F799" s="159"/>
    </row>
    <row r="800" spans="1:6" x14ac:dyDescent="0.2">
      <c r="A800" s="155"/>
      <c r="B800" s="156"/>
      <c r="C800" s="157"/>
      <c r="D800" s="157"/>
      <c r="E800" s="158"/>
      <c r="F800" s="159"/>
    </row>
    <row r="801" spans="1:6" x14ac:dyDescent="0.2">
      <c r="A801" s="155"/>
      <c r="B801" s="156"/>
      <c r="C801" s="157"/>
      <c r="D801" s="157"/>
      <c r="E801" s="158"/>
      <c r="F801" s="159"/>
    </row>
    <row r="802" spans="1:6" x14ac:dyDescent="0.2">
      <c r="A802" s="155"/>
      <c r="B802" s="156"/>
      <c r="C802" s="157"/>
      <c r="D802" s="157"/>
      <c r="E802" s="158"/>
      <c r="F802" s="159"/>
    </row>
    <row r="803" spans="1:6" x14ac:dyDescent="0.2">
      <c r="A803" s="155"/>
      <c r="B803" s="156"/>
      <c r="C803" s="157"/>
      <c r="D803" s="157"/>
      <c r="E803" s="158"/>
      <c r="F803" s="159"/>
    </row>
    <row r="804" spans="1:6" x14ac:dyDescent="0.2">
      <c r="A804" s="155"/>
      <c r="B804" s="156"/>
      <c r="C804" s="157"/>
      <c r="D804" s="157"/>
      <c r="E804" s="158"/>
      <c r="F804" s="159"/>
    </row>
    <row r="805" spans="1:6" x14ac:dyDescent="0.2">
      <c r="A805" s="155"/>
      <c r="B805" s="156"/>
      <c r="C805" s="157"/>
      <c r="D805" s="157"/>
      <c r="E805" s="158"/>
      <c r="F805" s="159"/>
    </row>
    <row r="806" spans="1:6" x14ac:dyDescent="0.2">
      <c r="A806" s="155"/>
      <c r="B806" s="156"/>
      <c r="C806" s="157"/>
      <c r="D806" s="157"/>
      <c r="E806" s="158"/>
      <c r="F806" s="159"/>
    </row>
    <row r="807" spans="1:6" x14ac:dyDescent="0.2">
      <c r="A807" s="155"/>
      <c r="B807" s="156"/>
      <c r="C807" s="157"/>
      <c r="D807" s="157"/>
      <c r="E807" s="158"/>
      <c r="F807" s="159"/>
    </row>
    <row r="808" spans="1:6" x14ac:dyDescent="0.2">
      <c r="A808" s="155"/>
      <c r="B808" s="156"/>
      <c r="C808" s="157"/>
      <c r="D808" s="157"/>
      <c r="E808" s="158"/>
      <c r="F808" s="159"/>
    </row>
    <row r="809" spans="1:6" x14ac:dyDescent="0.2">
      <c r="A809" s="155"/>
      <c r="B809" s="156"/>
      <c r="C809" s="157"/>
      <c r="D809" s="157"/>
      <c r="E809" s="158"/>
      <c r="F809" s="159"/>
    </row>
    <row r="810" spans="1:6" x14ac:dyDescent="0.2">
      <c r="A810" s="155"/>
      <c r="B810" s="156"/>
      <c r="C810" s="157"/>
      <c r="D810" s="157"/>
      <c r="E810" s="158"/>
      <c r="F810" s="159"/>
    </row>
    <row r="811" spans="1:6" x14ac:dyDescent="0.2">
      <c r="A811" s="155"/>
      <c r="B811" s="156"/>
      <c r="C811" s="157"/>
      <c r="D811" s="157"/>
      <c r="E811" s="158"/>
      <c r="F811" s="159"/>
    </row>
    <row r="812" spans="1:6" x14ac:dyDescent="0.2">
      <c r="A812" s="155"/>
      <c r="B812" s="156"/>
      <c r="C812" s="157"/>
      <c r="D812" s="157"/>
      <c r="E812" s="158"/>
      <c r="F812" s="159"/>
    </row>
    <row r="813" spans="1:6" x14ac:dyDescent="0.2">
      <c r="A813" s="155"/>
      <c r="B813" s="156"/>
      <c r="C813" s="157"/>
      <c r="D813" s="157"/>
      <c r="E813" s="158"/>
      <c r="F813" s="159"/>
    </row>
    <row r="814" spans="1:6" x14ac:dyDescent="0.2">
      <c r="A814" s="155"/>
      <c r="B814" s="156"/>
      <c r="C814" s="157"/>
      <c r="D814" s="157"/>
      <c r="E814" s="158"/>
      <c r="F814" s="159"/>
    </row>
    <row r="815" spans="1:6" x14ac:dyDescent="0.2">
      <c r="A815" s="155"/>
      <c r="B815" s="156"/>
      <c r="C815" s="157"/>
      <c r="D815" s="157"/>
      <c r="E815" s="158"/>
      <c r="F815" s="159"/>
    </row>
    <row r="816" spans="1:6" x14ac:dyDescent="0.2">
      <c r="A816" s="155"/>
      <c r="B816" s="156"/>
      <c r="C816" s="157"/>
      <c r="D816" s="157"/>
      <c r="E816" s="158"/>
      <c r="F816" s="159"/>
    </row>
    <row r="817" spans="1:6" x14ac:dyDescent="0.2">
      <c r="A817" s="155"/>
      <c r="B817" s="156"/>
      <c r="C817" s="157"/>
      <c r="D817" s="157"/>
      <c r="E817" s="158"/>
      <c r="F817" s="159"/>
    </row>
    <row r="818" spans="1:6" x14ac:dyDescent="0.2">
      <c r="A818" s="155"/>
      <c r="B818" s="156"/>
      <c r="C818" s="157"/>
      <c r="D818" s="157"/>
      <c r="E818" s="158"/>
      <c r="F818" s="159"/>
    </row>
    <row r="819" spans="1:6" x14ac:dyDescent="0.2">
      <c r="A819" s="155"/>
      <c r="B819" s="156"/>
      <c r="C819" s="157"/>
      <c r="D819" s="157"/>
      <c r="E819" s="158"/>
      <c r="F819" s="159"/>
    </row>
    <row r="820" spans="1:6" x14ac:dyDescent="0.2">
      <c r="A820" s="155"/>
      <c r="B820" s="156"/>
      <c r="C820" s="157"/>
      <c r="D820" s="157"/>
      <c r="E820" s="158"/>
      <c r="F820" s="159"/>
    </row>
    <row r="821" spans="1:6" x14ac:dyDescent="0.2">
      <c r="A821" s="155"/>
      <c r="B821" s="156"/>
      <c r="C821" s="157"/>
      <c r="D821" s="157"/>
      <c r="E821" s="158"/>
      <c r="F821" s="159"/>
    </row>
    <row r="822" spans="1:6" x14ac:dyDescent="0.2">
      <c r="A822" s="155"/>
      <c r="B822" s="156"/>
      <c r="C822" s="157"/>
      <c r="D822" s="157"/>
      <c r="E822" s="158"/>
      <c r="F822" s="159"/>
    </row>
    <row r="823" spans="1:6" x14ac:dyDescent="0.2">
      <c r="A823" s="155"/>
      <c r="B823" s="156"/>
      <c r="C823" s="157"/>
      <c r="D823" s="157"/>
      <c r="E823" s="158"/>
      <c r="F823" s="159"/>
    </row>
    <row r="824" spans="1:6" x14ac:dyDescent="0.2">
      <c r="A824" s="155"/>
      <c r="B824" s="156"/>
      <c r="C824" s="157"/>
      <c r="D824" s="157"/>
      <c r="E824" s="158"/>
      <c r="F824" s="159"/>
    </row>
    <row r="825" spans="1:6" x14ac:dyDescent="0.2">
      <c r="A825" s="155"/>
      <c r="B825" s="156"/>
      <c r="C825" s="157"/>
      <c r="D825" s="157"/>
      <c r="E825" s="158"/>
      <c r="F825" s="159"/>
    </row>
    <row r="826" spans="1:6" x14ac:dyDescent="0.2">
      <c r="A826" s="155"/>
      <c r="B826" s="156"/>
      <c r="C826" s="157"/>
      <c r="D826" s="157"/>
      <c r="E826" s="158"/>
      <c r="F826" s="159"/>
    </row>
    <row r="827" spans="1:6" x14ac:dyDescent="0.2">
      <c r="A827" s="155"/>
      <c r="B827" s="156"/>
      <c r="C827" s="157"/>
      <c r="D827" s="157"/>
      <c r="E827" s="158"/>
      <c r="F827" s="159"/>
    </row>
    <row r="828" spans="1:6" x14ac:dyDescent="0.2">
      <c r="A828" s="155"/>
      <c r="B828" s="156"/>
      <c r="C828" s="157"/>
      <c r="D828" s="157"/>
      <c r="E828" s="158"/>
      <c r="F828" s="159"/>
    </row>
    <row r="829" spans="1:6" x14ac:dyDescent="0.2">
      <c r="A829" s="155"/>
      <c r="B829" s="156"/>
      <c r="C829" s="157"/>
      <c r="D829" s="157"/>
      <c r="E829" s="158"/>
      <c r="F829" s="159"/>
    </row>
    <row r="830" spans="1:6" x14ac:dyDescent="0.2">
      <c r="A830" s="155"/>
      <c r="B830" s="156"/>
      <c r="C830" s="157"/>
      <c r="D830" s="157"/>
      <c r="E830" s="158"/>
      <c r="F830" s="159"/>
    </row>
    <row r="831" spans="1:6" x14ac:dyDescent="0.2">
      <c r="A831" s="155"/>
      <c r="B831" s="156"/>
      <c r="C831" s="157"/>
      <c r="D831" s="157"/>
      <c r="E831" s="158"/>
      <c r="F831" s="159"/>
    </row>
    <row r="832" spans="1:6" x14ac:dyDescent="0.2">
      <c r="A832" s="155"/>
      <c r="B832" s="156"/>
      <c r="C832" s="157"/>
      <c r="D832" s="157"/>
      <c r="E832" s="158"/>
      <c r="F832" s="159"/>
    </row>
    <row r="833" spans="1:6" x14ac:dyDescent="0.2">
      <c r="A833" s="155"/>
      <c r="B833" s="156"/>
      <c r="C833" s="157"/>
      <c r="D833" s="157"/>
      <c r="E833" s="158"/>
      <c r="F833" s="159"/>
    </row>
    <row r="834" spans="1:6" x14ac:dyDescent="0.2">
      <c r="A834" s="155"/>
      <c r="B834" s="156"/>
      <c r="C834" s="157"/>
      <c r="D834" s="157"/>
      <c r="E834" s="158"/>
      <c r="F834" s="159"/>
    </row>
    <row r="835" spans="1:6" x14ac:dyDescent="0.2">
      <c r="A835" s="155"/>
      <c r="B835" s="156"/>
      <c r="C835" s="157"/>
      <c r="D835" s="157"/>
      <c r="E835" s="158"/>
      <c r="F835" s="159"/>
    </row>
    <row r="836" spans="1:6" x14ac:dyDescent="0.2">
      <c r="A836" s="155"/>
      <c r="B836" s="156"/>
      <c r="C836" s="157"/>
      <c r="D836" s="157"/>
      <c r="E836" s="158"/>
      <c r="F836" s="159"/>
    </row>
    <row r="837" spans="1:6" x14ac:dyDescent="0.2">
      <c r="A837" s="155"/>
      <c r="B837" s="156"/>
      <c r="C837" s="157"/>
      <c r="D837" s="157"/>
      <c r="E837" s="158"/>
      <c r="F837" s="159"/>
    </row>
    <row r="838" spans="1:6" x14ac:dyDescent="0.2">
      <c r="A838" s="155"/>
      <c r="B838" s="156"/>
      <c r="C838" s="157"/>
      <c r="D838" s="157"/>
      <c r="E838" s="158"/>
      <c r="F838" s="159"/>
    </row>
    <row r="839" spans="1:6" x14ac:dyDescent="0.2">
      <c r="A839" s="155"/>
      <c r="B839" s="156"/>
      <c r="C839" s="157"/>
      <c r="D839" s="157"/>
      <c r="E839" s="158"/>
      <c r="F839" s="159"/>
    </row>
    <row r="840" spans="1:6" x14ac:dyDescent="0.2">
      <c r="A840" s="155"/>
      <c r="B840" s="156"/>
      <c r="C840" s="157"/>
      <c r="D840" s="157"/>
      <c r="E840" s="158"/>
      <c r="F840" s="159"/>
    </row>
    <row r="841" spans="1:6" x14ac:dyDescent="0.2">
      <c r="A841" s="155"/>
      <c r="B841" s="156"/>
      <c r="C841" s="157"/>
      <c r="D841" s="157"/>
      <c r="E841" s="158"/>
      <c r="F841" s="159"/>
    </row>
    <row r="842" spans="1:6" x14ac:dyDescent="0.2">
      <c r="A842" s="155"/>
      <c r="B842" s="156"/>
      <c r="C842" s="157"/>
      <c r="D842" s="157"/>
      <c r="E842" s="158"/>
      <c r="F842" s="159"/>
    </row>
    <row r="843" spans="1:6" x14ac:dyDescent="0.2">
      <c r="A843" s="155"/>
      <c r="B843" s="156"/>
      <c r="C843" s="157"/>
      <c r="D843" s="157"/>
      <c r="E843" s="158"/>
      <c r="F843" s="159"/>
    </row>
    <row r="844" spans="1:6" x14ac:dyDescent="0.2">
      <c r="A844" s="155"/>
      <c r="B844" s="156"/>
      <c r="C844" s="157"/>
      <c r="D844" s="157"/>
      <c r="E844" s="158"/>
      <c r="F844" s="159"/>
    </row>
    <row r="845" spans="1:6" x14ac:dyDescent="0.2">
      <c r="A845" s="155"/>
      <c r="B845" s="156"/>
      <c r="C845" s="157"/>
      <c r="D845" s="157"/>
      <c r="E845" s="158"/>
      <c r="F845" s="159"/>
    </row>
    <row r="846" spans="1:6" x14ac:dyDescent="0.2">
      <c r="A846" s="155"/>
      <c r="B846" s="156"/>
      <c r="C846" s="157"/>
      <c r="D846" s="157"/>
      <c r="E846" s="158"/>
      <c r="F846" s="159"/>
    </row>
    <row r="847" spans="1:6" x14ac:dyDescent="0.2">
      <c r="A847" s="155"/>
      <c r="B847" s="156"/>
      <c r="C847" s="157"/>
      <c r="D847" s="157"/>
      <c r="E847" s="158"/>
      <c r="F847" s="159"/>
    </row>
    <row r="848" spans="1:6" x14ac:dyDescent="0.2">
      <c r="A848" s="155"/>
      <c r="B848" s="156"/>
      <c r="C848" s="157"/>
      <c r="D848" s="157"/>
      <c r="E848" s="158"/>
      <c r="F848" s="159"/>
    </row>
    <row r="849" spans="1:6" x14ac:dyDescent="0.2">
      <c r="A849" s="155"/>
      <c r="B849" s="156"/>
      <c r="C849" s="157"/>
      <c r="D849" s="157"/>
      <c r="E849" s="158"/>
      <c r="F849" s="159"/>
    </row>
    <row r="850" spans="1:6" x14ac:dyDescent="0.2">
      <c r="A850" s="155"/>
      <c r="B850" s="156"/>
      <c r="C850" s="157"/>
      <c r="D850" s="157"/>
      <c r="E850" s="158"/>
      <c r="F850" s="159"/>
    </row>
    <row r="851" spans="1:6" x14ac:dyDescent="0.2">
      <c r="A851" s="155"/>
      <c r="B851" s="156"/>
      <c r="C851" s="157"/>
      <c r="D851" s="157"/>
      <c r="E851" s="158"/>
      <c r="F851" s="159"/>
    </row>
    <row r="852" spans="1:6" x14ac:dyDescent="0.2">
      <c r="A852" s="155"/>
      <c r="B852" s="156"/>
      <c r="C852" s="157"/>
      <c r="D852" s="157"/>
      <c r="E852" s="158"/>
      <c r="F852" s="159"/>
    </row>
    <row r="853" spans="1:6" x14ac:dyDescent="0.2">
      <c r="A853" s="155"/>
      <c r="B853" s="156"/>
      <c r="C853" s="157"/>
      <c r="D853" s="157"/>
      <c r="E853" s="158"/>
      <c r="F853" s="159"/>
    </row>
    <row r="854" spans="1:6" x14ac:dyDescent="0.2">
      <c r="A854" s="155"/>
      <c r="B854" s="156"/>
      <c r="C854" s="157"/>
      <c r="D854" s="157"/>
      <c r="E854" s="158"/>
      <c r="F854" s="159"/>
    </row>
    <row r="855" spans="1:6" x14ac:dyDescent="0.2">
      <c r="A855" s="155"/>
      <c r="B855" s="156"/>
      <c r="C855" s="157"/>
      <c r="D855" s="157"/>
      <c r="E855" s="158"/>
      <c r="F855" s="159"/>
    </row>
    <row r="856" spans="1:6" x14ac:dyDescent="0.2">
      <c r="A856" s="155"/>
      <c r="B856" s="156"/>
      <c r="C856" s="157"/>
      <c r="D856" s="157"/>
      <c r="E856" s="158"/>
      <c r="F856" s="159"/>
    </row>
    <row r="857" spans="1:6" x14ac:dyDescent="0.2">
      <c r="A857" s="155"/>
      <c r="B857" s="156"/>
      <c r="C857" s="157"/>
      <c r="D857" s="157"/>
      <c r="E857" s="158"/>
      <c r="F857" s="159"/>
    </row>
    <row r="858" spans="1:6" x14ac:dyDescent="0.2">
      <c r="A858" s="155"/>
      <c r="B858" s="156"/>
      <c r="C858" s="157"/>
      <c r="D858" s="157"/>
      <c r="E858" s="158"/>
      <c r="F858" s="159"/>
    </row>
    <row r="859" spans="1:6" x14ac:dyDescent="0.2">
      <c r="A859" s="155"/>
      <c r="B859" s="156"/>
      <c r="C859" s="157"/>
      <c r="D859" s="157"/>
      <c r="E859" s="158"/>
      <c r="F859" s="159"/>
    </row>
    <row r="860" spans="1:6" x14ac:dyDescent="0.2">
      <c r="A860" s="155"/>
      <c r="B860" s="156"/>
      <c r="C860" s="157"/>
      <c r="D860" s="157"/>
      <c r="E860" s="158"/>
      <c r="F860" s="159"/>
    </row>
    <row r="861" spans="1:6" x14ac:dyDescent="0.2">
      <c r="A861" s="155"/>
      <c r="B861" s="156"/>
      <c r="C861" s="157"/>
      <c r="D861" s="157"/>
      <c r="E861" s="158"/>
      <c r="F861" s="159"/>
    </row>
    <row r="862" spans="1:6" x14ac:dyDescent="0.2">
      <c r="A862" s="155"/>
      <c r="B862" s="156"/>
      <c r="C862" s="157"/>
      <c r="D862" s="157"/>
      <c r="E862" s="158"/>
      <c r="F862" s="159"/>
    </row>
    <row r="863" spans="1:6" x14ac:dyDescent="0.2">
      <c r="A863" s="155"/>
      <c r="B863" s="156"/>
      <c r="C863" s="157"/>
      <c r="D863" s="157"/>
      <c r="E863" s="158"/>
      <c r="F863" s="159"/>
    </row>
    <row r="864" spans="1:6" x14ac:dyDescent="0.2">
      <c r="A864" s="155"/>
      <c r="B864" s="156"/>
      <c r="C864" s="157"/>
      <c r="D864" s="157"/>
      <c r="E864" s="158"/>
      <c r="F864" s="159"/>
    </row>
    <row r="865" spans="1:6" x14ac:dyDescent="0.2">
      <c r="A865" s="155"/>
      <c r="B865" s="156"/>
      <c r="C865" s="157"/>
      <c r="D865" s="157"/>
      <c r="E865" s="158"/>
      <c r="F865" s="159"/>
    </row>
    <row r="866" spans="1:6" x14ac:dyDescent="0.2">
      <c r="A866" s="155"/>
      <c r="B866" s="156"/>
      <c r="C866" s="157"/>
      <c r="D866" s="157"/>
      <c r="E866" s="158"/>
      <c r="F866" s="159"/>
    </row>
    <row r="867" spans="1:6" x14ac:dyDescent="0.2">
      <c r="A867" s="155"/>
      <c r="B867" s="156"/>
      <c r="C867" s="157"/>
      <c r="D867" s="157"/>
      <c r="E867" s="158"/>
      <c r="F867" s="159"/>
    </row>
    <row r="868" spans="1:6" x14ac:dyDescent="0.2">
      <c r="A868" s="155"/>
      <c r="B868" s="156"/>
      <c r="C868" s="157"/>
      <c r="D868" s="157"/>
      <c r="E868" s="158"/>
      <c r="F868" s="159"/>
    </row>
    <row r="869" spans="1:6" x14ac:dyDescent="0.2">
      <c r="A869" s="155"/>
      <c r="B869" s="156"/>
      <c r="C869" s="157"/>
      <c r="D869" s="157"/>
      <c r="E869" s="158"/>
      <c r="F869" s="159"/>
    </row>
    <row r="870" spans="1:6" x14ac:dyDescent="0.2">
      <c r="A870" s="155"/>
      <c r="B870" s="156"/>
      <c r="C870" s="157"/>
      <c r="D870" s="157"/>
      <c r="E870" s="158"/>
      <c r="F870" s="159"/>
    </row>
    <row r="871" spans="1:6" x14ac:dyDescent="0.2">
      <c r="A871" s="155"/>
      <c r="B871" s="156"/>
      <c r="C871" s="157"/>
      <c r="D871" s="157"/>
      <c r="E871" s="158"/>
      <c r="F871" s="159"/>
    </row>
    <row r="872" spans="1:6" x14ac:dyDescent="0.2">
      <c r="A872" s="155"/>
      <c r="B872" s="156"/>
      <c r="C872" s="157"/>
      <c r="D872" s="157"/>
      <c r="E872" s="158"/>
      <c r="F872" s="159"/>
    </row>
    <row r="873" spans="1:6" x14ac:dyDescent="0.2">
      <c r="A873" s="155"/>
      <c r="B873" s="156"/>
      <c r="C873" s="157"/>
      <c r="D873" s="157"/>
      <c r="E873" s="158"/>
      <c r="F873" s="159"/>
    </row>
    <row r="874" spans="1:6" x14ac:dyDescent="0.2">
      <c r="A874" s="155"/>
      <c r="B874" s="156"/>
      <c r="C874" s="157"/>
      <c r="D874" s="157"/>
      <c r="E874" s="158"/>
      <c r="F874" s="159"/>
    </row>
    <row r="875" spans="1:6" x14ac:dyDescent="0.2">
      <c r="A875" s="155"/>
      <c r="B875" s="156"/>
      <c r="C875" s="157"/>
      <c r="D875" s="157"/>
      <c r="E875" s="158"/>
      <c r="F875" s="159"/>
    </row>
    <row r="876" spans="1:6" x14ac:dyDescent="0.2">
      <c r="A876" s="155"/>
      <c r="B876" s="156"/>
      <c r="C876" s="157"/>
      <c r="D876" s="157"/>
      <c r="E876" s="158"/>
      <c r="F876" s="159"/>
    </row>
    <row r="877" spans="1:6" x14ac:dyDescent="0.2">
      <c r="A877" s="155"/>
      <c r="B877" s="156"/>
      <c r="C877" s="157"/>
      <c r="D877" s="157"/>
      <c r="E877" s="158"/>
      <c r="F877" s="159"/>
    </row>
    <row r="878" spans="1:6" x14ac:dyDescent="0.2">
      <c r="A878" s="155"/>
      <c r="B878" s="156"/>
      <c r="C878" s="157"/>
      <c r="D878" s="157"/>
      <c r="E878" s="158"/>
      <c r="F878" s="159"/>
    </row>
    <row r="879" spans="1:6" x14ac:dyDescent="0.2">
      <c r="A879" s="155"/>
      <c r="B879" s="156"/>
      <c r="C879" s="157"/>
      <c r="D879" s="157"/>
      <c r="E879" s="158"/>
      <c r="F879" s="159"/>
    </row>
    <row r="880" spans="1:6" x14ac:dyDescent="0.2">
      <c r="A880" s="155"/>
      <c r="B880" s="156"/>
      <c r="C880" s="157"/>
      <c r="D880" s="157"/>
      <c r="E880" s="158"/>
      <c r="F880" s="159"/>
    </row>
    <row r="881" spans="1:6" x14ac:dyDescent="0.2">
      <c r="A881" s="155"/>
      <c r="B881" s="156"/>
      <c r="C881" s="157"/>
      <c r="D881" s="157"/>
      <c r="E881" s="158"/>
      <c r="F881" s="159"/>
    </row>
    <row r="882" spans="1:6" x14ac:dyDescent="0.2">
      <c r="A882" s="155"/>
      <c r="B882" s="156"/>
      <c r="C882" s="157"/>
      <c r="D882" s="157"/>
      <c r="E882" s="158"/>
      <c r="F882" s="159"/>
    </row>
    <row r="883" spans="1:6" x14ac:dyDescent="0.2">
      <c r="A883" s="155"/>
      <c r="B883" s="156"/>
      <c r="C883" s="157"/>
      <c r="D883" s="157"/>
      <c r="E883" s="158"/>
      <c r="F883" s="159"/>
    </row>
    <row r="884" spans="1:6" x14ac:dyDescent="0.2">
      <c r="A884" s="155"/>
      <c r="B884" s="156"/>
      <c r="C884" s="157"/>
      <c r="D884" s="157"/>
      <c r="E884" s="158"/>
      <c r="F884" s="159"/>
    </row>
    <row r="885" spans="1:6" x14ac:dyDescent="0.2">
      <c r="A885" s="155"/>
      <c r="B885" s="156"/>
      <c r="C885" s="157"/>
      <c r="D885" s="157"/>
      <c r="E885" s="158"/>
      <c r="F885" s="159"/>
    </row>
    <row r="886" spans="1:6" x14ac:dyDescent="0.2">
      <c r="A886" s="155"/>
      <c r="B886" s="156"/>
      <c r="C886" s="157"/>
      <c r="D886" s="157"/>
      <c r="E886" s="158"/>
      <c r="F886" s="159"/>
    </row>
    <row r="887" spans="1:6" x14ac:dyDescent="0.2">
      <c r="A887" s="155"/>
      <c r="B887" s="156"/>
      <c r="C887" s="157"/>
      <c r="D887" s="157"/>
      <c r="E887" s="158"/>
      <c r="F887" s="159"/>
    </row>
    <row r="888" spans="1:6" x14ac:dyDescent="0.2">
      <c r="A888" s="155"/>
      <c r="B888" s="156"/>
      <c r="C888" s="157"/>
      <c r="D888" s="157"/>
      <c r="E888" s="158"/>
      <c r="F888" s="159"/>
    </row>
    <row r="889" spans="1:6" x14ac:dyDescent="0.2">
      <c r="A889" s="155"/>
      <c r="B889" s="156"/>
      <c r="C889" s="157"/>
      <c r="D889" s="157"/>
      <c r="E889" s="158"/>
      <c r="F889" s="159"/>
    </row>
    <row r="890" spans="1:6" x14ac:dyDescent="0.2">
      <c r="A890" s="155"/>
      <c r="B890" s="156"/>
      <c r="C890" s="157"/>
      <c r="D890" s="157"/>
      <c r="E890" s="158"/>
      <c r="F890" s="159"/>
    </row>
    <row r="891" spans="1:6" x14ac:dyDescent="0.2">
      <c r="A891" s="155"/>
      <c r="B891" s="156"/>
      <c r="C891" s="157"/>
      <c r="D891" s="157"/>
      <c r="E891" s="158"/>
      <c r="F891" s="159"/>
    </row>
    <row r="892" spans="1:6" x14ac:dyDescent="0.2">
      <c r="A892" s="155"/>
      <c r="B892" s="156"/>
      <c r="C892" s="157"/>
      <c r="D892" s="157"/>
      <c r="E892" s="158"/>
      <c r="F892" s="159"/>
    </row>
    <row r="893" spans="1:6" x14ac:dyDescent="0.2">
      <c r="A893" s="155"/>
      <c r="B893" s="156"/>
      <c r="C893" s="157"/>
      <c r="D893" s="157"/>
      <c r="E893" s="158"/>
      <c r="F893" s="159"/>
    </row>
    <row r="894" spans="1:6" x14ac:dyDescent="0.2">
      <c r="A894" s="155"/>
      <c r="B894" s="156"/>
      <c r="C894" s="157"/>
      <c r="D894" s="157"/>
      <c r="E894" s="158"/>
      <c r="F894" s="159"/>
    </row>
    <row r="895" spans="1:6" x14ac:dyDescent="0.2">
      <c r="A895" s="155"/>
      <c r="B895" s="156"/>
      <c r="C895" s="157"/>
      <c r="D895" s="157"/>
      <c r="E895" s="158"/>
      <c r="F895" s="159"/>
    </row>
    <row r="896" spans="1:6" x14ac:dyDescent="0.2">
      <c r="A896" s="155"/>
      <c r="B896" s="156"/>
      <c r="C896" s="157"/>
      <c r="D896" s="157"/>
      <c r="E896" s="158"/>
      <c r="F896" s="159"/>
    </row>
    <row r="897" spans="1:6" x14ac:dyDescent="0.2">
      <c r="A897" s="155"/>
      <c r="B897" s="156"/>
      <c r="C897" s="157"/>
      <c r="D897" s="157"/>
      <c r="E897" s="158"/>
      <c r="F897" s="159"/>
    </row>
    <row r="898" spans="1:6" x14ac:dyDescent="0.2">
      <c r="A898" s="155"/>
      <c r="B898" s="156"/>
      <c r="C898" s="157"/>
      <c r="D898" s="157"/>
      <c r="E898" s="158"/>
      <c r="F898" s="159"/>
    </row>
    <row r="899" spans="1:6" x14ac:dyDescent="0.2">
      <c r="A899" s="155"/>
      <c r="B899" s="156"/>
      <c r="C899" s="157"/>
      <c r="D899" s="157"/>
      <c r="E899" s="158"/>
      <c r="F899" s="159"/>
    </row>
    <row r="900" spans="1:6" x14ac:dyDescent="0.2">
      <c r="A900" s="155"/>
      <c r="B900" s="156"/>
      <c r="C900" s="157"/>
      <c r="D900" s="157"/>
      <c r="E900" s="158"/>
      <c r="F900" s="159"/>
    </row>
    <row r="901" spans="1:6" x14ac:dyDescent="0.2">
      <c r="A901" s="155"/>
      <c r="B901" s="156"/>
      <c r="C901" s="157"/>
      <c r="D901" s="157"/>
      <c r="E901" s="158"/>
      <c r="F901" s="159"/>
    </row>
    <row r="902" spans="1:6" x14ac:dyDescent="0.2">
      <c r="A902" s="155"/>
      <c r="B902" s="156"/>
      <c r="C902" s="157"/>
      <c r="D902" s="157"/>
      <c r="E902" s="158"/>
      <c r="F902" s="159"/>
    </row>
    <row r="903" spans="1:6" x14ac:dyDescent="0.2">
      <c r="A903" s="155"/>
      <c r="B903" s="156"/>
      <c r="C903" s="157"/>
      <c r="D903" s="157"/>
      <c r="E903" s="158"/>
      <c r="F903" s="159"/>
    </row>
    <row r="904" spans="1:6" x14ac:dyDescent="0.2">
      <c r="A904" s="155"/>
      <c r="B904" s="156"/>
      <c r="C904" s="157"/>
      <c r="D904" s="157"/>
      <c r="E904" s="158"/>
      <c r="F904" s="159"/>
    </row>
    <row r="905" spans="1:6" x14ac:dyDescent="0.2">
      <c r="A905" s="155"/>
      <c r="B905" s="156"/>
      <c r="C905" s="157"/>
      <c r="D905" s="157"/>
      <c r="E905" s="158"/>
      <c r="F905" s="159"/>
    </row>
    <row r="906" spans="1:6" x14ac:dyDescent="0.2">
      <c r="A906" s="155"/>
      <c r="B906" s="156"/>
      <c r="C906" s="157"/>
      <c r="D906" s="157"/>
      <c r="E906" s="158"/>
      <c r="F906" s="159"/>
    </row>
    <row r="907" spans="1:6" x14ac:dyDescent="0.2">
      <c r="A907" s="155"/>
      <c r="B907" s="156"/>
      <c r="C907" s="157"/>
      <c r="D907" s="157"/>
      <c r="E907" s="158"/>
      <c r="F907" s="159"/>
    </row>
    <row r="908" spans="1:6" x14ac:dyDescent="0.2">
      <c r="A908" s="155"/>
      <c r="B908" s="156"/>
      <c r="C908" s="157"/>
      <c r="D908" s="157"/>
      <c r="E908" s="158"/>
      <c r="F908" s="159"/>
    </row>
    <row r="909" spans="1:6" x14ac:dyDescent="0.2">
      <c r="A909" s="155"/>
      <c r="B909" s="156"/>
      <c r="C909" s="157"/>
      <c r="D909" s="157"/>
      <c r="E909" s="158"/>
      <c r="F909" s="159"/>
    </row>
    <row r="910" spans="1:6" x14ac:dyDescent="0.2">
      <c r="A910" s="155"/>
      <c r="B910" s="156"/>
      <c r="C910" s="157"/>
      <c r="D910" s="157"/>
      <c r="E910" s="158"/>
      <c r="F910" s="159"/>
    </row>
    <row r="911" spans="1:6" x14ac:dyDescent="0.2">
      <c r="A911" s="155"/>
      <c r="B911" s="156"/>
      <c r="C911" s="157"/>
      <c r="D911" s="157"/>
      <c r="E911" s="158"/>
      <c r="F911" s="159"/>
    </row>
    <row r="912" spans="1:6" x14ac:dyDescent="0.2">
      <c r="A912" s="155"/>
      <c r="B912" s="156"/>
      <c r="C912" s="157"/>
      <c r="D912" s="157"/>
      <c r="E912" s="158"/>
      <c r="F912" s="159"/>
    </row>
    <row r="913" spans="1:6" x14ac:dyDescent="0.2">
      <c r="A913" s="155"/>
      <c r="B913" s="156"/>
      <c r="C913" s="157"/>
      <c r="D913" s="157"/>
      <c r="E913" s="158"/>
      <c r="F913" s="159"/>
    </row>
    <row r="914" spans="1:6" x14ac:dyDescent="0.2">
      <c r="A914" s="155"/>
      <c r="B914" s="156"/>
      <c r="C914" s="157"/>
      <c r="D914" s="157"/>
      <c r="E914" s="158"/>
      <c r="F914" s="159"/>
    </row>
    <row r="915" spans="1:6" x14ac:dyDescent="0.2">
      <c r="A915" s="155"/>
      <c r="B915" s="156"/>
      <c r="C915" s="157"/>
      <c r="D915" s="157"/>
      <c r="E915" s="158"/>
      <c r="F915" s="159"/>
    </row>
    <row r="916" spans="1:6" x14ac:dyDescent="0.2">
      <c r="A916" s="155"/>
      <c r="B916" s="156"/>
      <c r="C916" s="157"/>
      <c r="D916" s="157"/>
      <c r="E916" s="158"/>
      <c r="F916" s="159"/>
    </row>
    <row r="917" spans="1:6" x14ac:dyDescent="0.2">
      <c r="A917" s="155"/>
      <c r="B917" s="156"/>
      <c r="C917" s="157"/>
      <c r="D917" s="157"/>
      <c r="E917" s="158"/>
      <c r="F917" s="159"/>
    </row>
    <row r="918" spans="1:6" x14ac:dyDescent="0.2">
      <c r="A918" s="155"/>
      <c r="B918" s="156"/>
      <c r="C918" s="157"/>
      <c r="D918" s="157"/>
      <c r="E918" s="158"/>
      <c r="F918" s="159"/>
    </row>
    <row r="919" spans="1:6" x14ac:dyDescent="0.2">
      <c r="A919" s="155"/>
      <c r="B919" s="156"/>
      <c r="C919" s="157"/>
      <c r="D919" s="157"/>
      <c r="E919" s="158"/>
      <c r="F919" s="159"/>
    </row>
    <row r="920" spans="1:6" x14ac:dyDescent="0.2">
      <c r="A920" s="155"/>
      <c r="B920" s="156"/>
      <c r="C920" s="157"/>
      <c r="D920" s="157"/>
      <c r="E920" s="158"/>
      <c r="F920" s="159"/>
    </row>
    <row r="921" spans="1:6" x14ac:dyDescent="0.2">
      <c r="A921" s="155"/>
      <c r="B921" s="156"/>
      <c r="C921" s="157"/>
      <c r="D921" s="157"/>
      <c r="E921" s="158"/>
      <c r="F921" s="159"/>
    </row>
    <row r="922" spans="1:6" x14ac:dyDescent="0.2">
      <c r="A922" s="155"/>
      <c r="B922" s="156"/>
      <c r="C922" s="157"/>
      <c r="D922" s="157"/>
      <c r="E922" s="158"/>
      <c r="F922" s="159"/>
    </row>
    <row r="923" spans="1:6" x14ac:dyDescent="0.2">
      <c r="A923" s="155"/>
      <c r="B923" s="156"/>
      <c r="C923" s="157"/>
      <c r="D923" s="157"/>
      <c r="E923" s="158"/>
      <c r="F923" s="159"/>
    </row>
    <row r="924" spans="1:6" x14ac:dyDescent="0.2">
      <c r="A924" s="155"/>
      <c r="B924" s="156"/>
      <c r="C924" s="157"/>
      <c r="D924" s="157"/>
      <c r="E924" s="158"/>
      <c r="F924" s="159"/>
    </row>
    <row r="925" spans="1:6" x14ac:dyDescent="0.2">
      <c r="A925" s="155"/>
      <c r="B925" s="156"/>
      <c r="C925" s="157"/>
      <c r="D925" s="157"/>
      <c r="E925" s="158"/>
      <c r="F925" s="159"/>
    </row>
    <row r="926" spans="1:6" x14ac:dyDescent="0.2">
      <c r="A926" s="155"/>
      <c r="B926" s="156"/>
      <c r="C926" s="157"/>
      <c r="D926" s="157"/>
      <c r="E926" s="158"/>
      <c r="F926" s="159"/>
    </row>
    <row r="927" spans="1:6" x14ac:dyDescent="0.2">
      <c r="A927" s="155"/>
      <c r="B927" s="156"/>
      <c r="C927" s="157"/>
      <c r="D927" s="157"/>
      <c r="E927" s="158"/>
      <c r="F927" s="159"/>
    </row>
    <row r="928" spans="1:6" x14ac:dyDescent="0.2">
      <c r="A928" s="155"/>
      <c r="B928" s="156"/>
      <c r="C928" s="157"/>
      <c r="D928" s="157"/>
      <c r="E928" s="158"/>
      <c r="F928" s="159"/>
    </row>
    <row r="929" spans="1:6" x14ac:dyDescent="0.2">
      <c r="A929" s="155"/>
      <c r="B929" s="156"/>
      <c r="C929" s="157"/>
      <c r="D929" s="157"/>
      <c r="E929" s="158"/>
      <c r="F929" s="159"/>
    </row>
    <row r="930" spans="1:6" x14ac:dyDescent="0.2">
      <c r="A930" s="155"/>
      <c r="B930" s="156"/>
      <c r="C930" s="157"/>
      <c r="D930" s="157"/>
      <c r="E930" s="158"/>
      <c r="F930" s="159"/>
    </row>
    <row r="931" spans="1:6" x14ac:dyDescent="0.2">
      <c r="A931" s="155"/>
      <c r="B931" s="156"/>
      <c r="C931" s="157"/>
      <c r="D931" s="157"/>
      <c r="E931" s="158"/>
      <c r="F931" s="159"/>
    </row>
    <row r="932" spans="1:6" x14ac:dyDescent="0.2">
      <c r="A932" s="155"/>
      <c r="B932" s="156"/>
      <c r="C932" s="157"/>
      <c r="D932" s="157"/>
      <c r="E932" s="158"/>
      <c r="F932" s="159"/>
    </row>
    <row r="933" spans="1:6" x14ac:dyDescent="0.2">
      <c r="A933" s="155"/>
      <c r="B933" s="156"/>
      <c r="C933" s="157"/>
      <c r="D933" s="157"/>
      <c r="E933" s="158"/>
      <c r="F933" s="159"/>
    </row>
    <row r="934" spans="1:6" x14ac:dyDescent="0.2">
      <c r="A934" s="155"/>
      <c r="B934" s="156"/>
      <c r="C934" s="157"/>
      <c r="D934" s="157"/>
      <c r="E934" s="158"/>
      <c r="F934" s="159"/>
    </row>
    <row r="935" spans="1:6" x14ac:dyDescent="0.2">
      <c r="A935" s="155"/>
      <c r="B935" s="156"/>
      <c r="C935" s="157"/>
      <c r="D935" s="157"/>
      <c r="E935" s="158"/>
      <c r="F935" s="159"/>
    </row>
    <row r="936" spans="1:6" x14ac:dyDescent="0.2">
      <c r="A936" s="155"/>
      <c r="B936" s="156"/>
      <c r="C936" s="157"/>
      <c r="D936" s="157"/>
      <c r="E936" s="158"/>
      <c r="F936" s="159"/>
    </row>
    <row r="937" spans="1:6" x14ac:dyDescent="0.2">
      <c r="A937" s="155"/>
      <c r="B937" s="156"/>
      <c r="C937" s="157"/>
      <c r="D937" s="157"/>
      <c r="E937" s="158"/>
      <c r="F937" s="159"/>
    </row>
    <row r="938" spans="1:6" x14ac:dyDescent="0.2">
      <c r="A938" s="155"/>
      <c r="B938" s="156"/>
      <c r="C938" s="157"/>
      <c r="D938" s="157"/>
      <c r="E938" s="158"/>
      <c r="F938" s="159"/>
    </row>
    <row r="939" spans="1:6" x14ac:dyDescent="0.2">
      <c r="A939" s="155"/>
      <c r="B939" s="156"/>
      <c r="C939" s="157"/>
      <c r="D939" s="157"/>
      <c r="E939" s="158"/>
      <c r="F939" s="159"/>
    </row>
    <row r="940" spans="1:6" x14ac:dyDescent="0.2">
      <c r="A940" s="155"/>
      <c r="B940" s="156"/>
      <c r="C940" s="157"/>
      <c r="D940" s="157"/>
      <c r="E940" s="158"/>
      <c r="F940" s="159"/>
    </row>
    <row r="941" spans="1:6" x14ac:dyDescent="0.2">
      <c r="A941" s="155"/>
      <c r="B941" s="156"/>
      <c r="C941" s="157"/>
      <c r="D941" s="157"/>
      <c r="E941" s="158"/>
      <c r="F941" s="159"/>
    </row>
    <row r="942" spans="1:6" x14ac:dyDescent="0.2">
      <c r="A942" s="155"/>
      <c r="B942" s="156"/>
      <c r="C942" s="157"/>
      <c r="D942" s="157"/>
      <c r="E942" s="158"/>
      <c r="F942" s="159"/>
    </row>
    <row r="943" spans="1:6" x14ac:dyDescent="0.2">
      <c r="A943" s="155"/>
      <c r="B943" s="156"/>
      <c r="C943" s="157"/>
      <c r="D943" s="157"/>
      <c r="E943" s="158"/>
      <c r="F943" s="159"/>
    </row>
    <row r="944" spans="1:6" x14ac:dyDescent="0.2">
      <c r="A944" s="155"/>
      <c r="B944" s="156"/>
      <c r="C944" s="157"/>
      <c r="D944" s="157"/>
      <c r="E944" s="158"/>
      <c r="F944" s="159"/>
    </row>
    <row r="945" spans="1:6" x14ac:dyDescent="0.2">
      <c r="A945" s="155"/>
      <c r="B945" s="156"/>
      <c r="C945" s="157"/>
      <c r="D945" s="157"/>
      <c r="E945" s="158"/>
      <c r="F945" s="159"/>
    </row>
    <row r="946" spans="1:6" x14ac:dyDescent="0.2">
      <c r="A946" s="155"/>
      <c r="B946" s="156"/>
      <c r="C946" s="157"/>
      <c r="D946" s="157"/>
      <c r="E946" s="158"/>
      <c r="F946" s="159"/>
    </row>
    <row r="947" spans="1:6" x14ac:dyDescent="0.2">
      <c r="A947" s="155"/>
      <c r="B947" s="156"/>
      <c r="C947" s="157"/>
      <c r="D947" s="157"/>
      <c r="E947" s="158"/>
      <c r="F947" s="159"/>
    </row>
    <row r="948" spans="1:6" x14ac:dyDescent="0.2">
      <c r="A948" s="155"/>
      <c r="B948" s="156"/>
      <c r="C948" s="157"/>
      <c r="D948" s="157"/>
      <c r="E948" s="158"/>
      <c r="F948" s="159"/>
    </row>
    <row r="949" spans="1:6" x14ac:dyDescent="0.2">
      <c r="A949" s="155"/>
      <c r="B949" s="156"/>
      <c r="C949" s="157"/>
      <c r="D949" s="157"/>
      <c r="E949" s="158"/>
      <c r="F949" s="159"/>
    </row>
    <row r="950" spans="1:6" x14ac:dyDescent="0.2">
      <c r="A950" s="155"/>
      <c r="B950" s="156"/>
      <c r="C950" s="157"/>
      <c r="D950" s="157"/>
      <c r="E950" s="158"/>
      <c r="F950" s="159"/>
    </row>
    <row r="951" spans="1:6" x14ac:dyDescent="0.2">
      <c r="A951" s="155"/>
      <c r="B951" s="156"/>
      <c r="C951" s="157"/>
      <c r="D951" s="157"/>
      <c r="E951" s="158"/>
      <c r="F951" s="159"/>
    </row>
    <row r="952" spans="1:6" x14ac:dyDescent="0.2">
      <c r="A952" s="155"/>
      <c r="B952" s="156"/>
      <c r="C952" s="157"/>
      <c r="D952" s="157"/>
      <c r="E952" s="158"/>
      <c r="F952" s="159"/>
    </row>
    <row r="953" spans="1:6" x14ac:dyDescent="0.2">
      <c r="A953" s="155"/>
      <c r="B953" s="156"/>
      <c r="C953" s="157"/>
      <c r="D953" s="157"/>
      <c r="E953" s="158"/>
      <c r="F953" s="159"/>
    </row>
    <row r="954" spans="1:6" x14ac:dyDescent="0.2">
      <c r="A954" s="155"/>
      <c r="B954" s="156"/>
      <c r="C954" s="157"/>
      <c r="D954" s="157"/>
      <c r="E954" s="158"/>
      <c r="F954" s="159"/>
    </row>
    <row r="955" spans="1:6" x14ac:dyDescent="0.2">
      <c r="A955" s="155"/>
      <c r="B955" s="156"/>
      <c r="C955" s="157"/>
      <c r="D955" s="157"/>
      <c r="E955" s="158"/>
      <c r="F955" s="159"/>
    </row>
    <row r="956" spans="1:6" x14ac:dyDescent="0.2">
      <c r="A956" s="155"/>
      <c r="B956" s="156"/>
      <c r="C956" s="157"/>
      <c r="D956" s="157"/>
      <c r="E956" s="158"/>
      <c r="F956" s="159"/>
    </row>
    <row r="957" spans="1:6" x14ac:dyDescent="0.2">
      <c r="A957" s="155"/>
      <c r="B957" s="156"/>
      <c r="C957" s="157"/>
      <c r="D957" s="157"/>
      <c r="E957" s="158"/>
      <c r="F957" s="159"/>
    </row>
    <row r="958" spans="1:6" x14ac:dyDescent="0.2">
      <c r="A958" s="155"/>
      <c r="B958" s="156"/>
      <c r="C958" s="157"/>
      <c r="D958" s="157"/>
      <c r="E958" s="158"/>
      <c r="F958" s="159"/>
    </row>
    <row r="959" spans="1:6" x14ac:dyDescent="0.2">
      <c r="A959" s="155"/>
      <c r="B959" s="156"/>
      <c r="C959" s="157"/>
      <c r="D959" s="157"/>
      <c r="E959" s="158"/>
      <c r="F959" s="159"/>
    </row>
    <row r="960" spans="1:6" x14ac:dyDescent="0.2">
      <c r="A960" s="155"/>
      <c r="B960" s="156"/>
      <c r="C960" s="157"/>
      <c r="D960" s="157"/>
      <c r="E960" s="158"/>
      <c r="F960" s="159"/>
    </row>
    <row r="961" spans="1:6" x14ac:dyDescent="0.2">
      <c r="A961" s="155"/>
      <c r="B961" s="156"/>
      <c r="C961" s="157"/>
      <c r="D961" s="157"/>
      <c r="E961" s="158"/>
      <c r="F961" s="159"/>
    </row>
    <row r="962" spans="1:6" x14ac:dyDescent="0.2">
      <c r="A962" s="155"/>
      <c r="B962" s="156"/>
      <c r="C962" s="157"/>
      <c r="D962" s="157"/>
      <c r="E962" s="158"/>
      <c r="F962" s="159"/>
    </row>
    <row r="963" spans="1:6" x14ac:dyDescent="0.2">
      <c r="A963" s="155"/>
      <c r="B963" s="156"/>
      <c r="C963" s="157"/>
      <c r="D963" s="157"/>
      <c r="E963" s="158"/>
      <c r="F963" s="159"/>
    </row>
    <row r="964" spans="1:6" x14ac:dyDescent="0.2">
      <c r="A964" s="155"/>
      <c r="B964" s="156"/>
      <c r="C964" s="157"/>
      <c r="D964" s="157"/>
      <c r="E964" s="158"/>
      <c r="F964" s="159"/>
    </row>
    <row r="965" spans="1:6" x14ac:dyDescent="0.2">
      <c r="A965" s="155"/>
      <c r="B965" s="156"/>
      <c r="C965" s="157"/>
      <c r="D965" s="157"/>
      <c r="E965" s="158"/>
      <c r="F965" s="159"/>
    </row>
    <row r="966" spans="1:6" x14ac:dyDescent="0.2">
      <c r="A966" s="155"/>
      <c r="B966" s="156"/>
      <c r="C966" s="157"/>
      <c r="D966" s="157"/>
      <c r="E966" s="158"/>
      <c r="F966" s="159"/>
    </row>
    <row r="967" spans="1:6" x14ac:dyDescent="0.2">
      <c r="A967" s="155"/>
      <c r="B967" s="156"/>
      <c r="C967" s="157"/>
      <c r="D967" s="157"/>
      <c r="E967" s="158"/>
      <c r="F967" s="159"/>
    </row>
    <row r="968" spans="1:6" x14ac:dyDescent="0.2">
      <c r="A968" s="155"/>
      <c r="B968" s="156"/>
      <c r="C968" s="157"/>
      <c r="D968" s="157"/>
      <c r="E968" s="158"/>
      <c r="F968" s="159"/>
    </row>
    <row r="969" spans="1:6" x14ac:dyDescent="0.2">
      <c r="A969" s="155"/>
      <c r="B969" s="156"/>
      <c r="C969" s="157"/>
      <c r="D969" s="157"/>
      <c r="E969" s="158"/>
      <c r="F969" s="159"/>
    </row>
    <row r="970" spans="1:6" x14ac:dyDescent="0.2">
      <c r="A970" s="155"/>
      <c r="B970" s="156"/>
      <c r="C970" s="157"/>
      <c r="D970" s="157"/>
      <c r="E970" s="158"/>
      <c r="F970" s="159"/>
    </row>
    <row r="971" spans="1:6" x14ac:dyDescent="0.2">
      <c r="A971" s="155"/>
      <c r="B971" s="156"/>
      <c r="C971" s="157"/>
      <c r="D971" s="157"/>
      <c r="E971" s="158"/>
      <c r="F971" s="159"/>
    </row>
    <row r="972" spans="1:6" x14ac:dyDescent="0.2">
      <c r="A972" s="155"/>
      <c r="B972" s="156"/>
      <c r="C972" s="157"/>
      <c r="D972" s="157"/>
      <c r="E972" s="158"/>
      <c r="F972" s="159"/>
    </row>
    <row r="973" spans="1:6" x14ac:dyDescent="0.2">
      <c r="A973" s="155"/>
      <c r="B973" s="156"/>
      <c r="C973" s="157"/>
      <c r="D973" s="157"/>
      <c r="E973" s="158"/>
      <c r="F973" s="159"/>
    </row>
    <row r="974" spans="1:6" x14ac:dyDescent="0.2">
      <c r="A974" s="155"/>
      <c r="B974" s="156"/>
      <c r="C974" s="157"/>
      <c r="D974" s="157"/>
      <c r="E974" s="158"/>
      <c r="F974" s="159"/>
    </row>
    <row r="975" spans="1:6" x14ac:dyDescent="0.2">
      <c r="A975" s="155"/>
      <c r="B975" s="156"/>
      <c r="C975" s="157"/>
      <c r="D975" s="157"/>
      <c r="E975" s="158"/>
      <c r="F975" s="159"/>
    </row>
    <row r="976" spans="1:6" x14ac:dyDescent="0.2">
      <c r="A976" s="155"/>
      <c r="B976" s="156"/>
      <c r="C976" s="157"/>
      <c r="D976" s="157"/>
      <c r="E976" s="158"/>
      <c r="F976" s="159"/>
    </row>
    <row r="977" spans="1:6" x14ac:dyDescent="0.2">
      <c r="A977" s="155"/>
      <c r="B977" s="156"/>
      <c r="C977" s="157"/>
      <c r="D977" s="157"/>
      <c r="E977" s="158"/>
      <c r="F977" s="159"/>
    </row>
    <row r="978" spans="1:6" x14ac:dyDescent="0.2">
      <c r="A978" s="155"/>
      <c r="B978" s="156"/>
      <c r="C978" s="157"/>
      <c r="D978" s="157"/>
      <c r="E978" s="158"/>
      <c r="F978" s="159"/>
    </row>
    <row r="979" spans="1:6" x14ac:dyDescent="0.2">
      <c r="A979" s="155"/>
      <c r="B979" s="156"/>
      <c r="C979" s="157"/>
      <c r="D979" s="157"/>
      <c r="E979" s="158"/>
      <c r="F979" s="159"/>
    </row>
    <row r="980" spans="1:6" x14ac:dyDescent="0.2">
      <c r="A980" s="155"/>
      <c r="B980" s="156"/>
      <c r="C980" s="157"/>
      <c r="D980" s="157"/>
      <c r="E980" s="158"/>
      <c r="F980" s="159"/>
    </row>
    <row r="981" spans="1:6" x14ac:dyDescent="0.2">
      <c r="A981" s="155"/>
      <c r="B981" s="156"/>
      <c r="C981" s="157"/>
      <c r="D981" s="157"/>
      <c r="E981" s="158"/>
      <c r="F981" s="159"/>
    </row>
    <row r="982" spans="1:6" x14ac:dyDescent="0.2">
      <c r="A982" s="155"/>
      <c r="B982" s="156"/>
      <c r="C982" s="157"/>
      <c r="D982" s="157"/>
      <c r="E982" s="158"/>
      <c r="F982" s="159"/>
    </row>
    <row r="983" spans="1:6" x14ac:dyDescent="0.2">
      <c r="A983" s="155"/>
      <c r="B983" s="156"/>
      <c r="C983" s="157"/>
      <c r="D983" s="157"/>
      <c r="E983" s="158"/>
      <c r="F983" s="159"/>
    </row>
    <row r="984" spans="1:6" x14ac:dyDescent="0.2">
      <c r="A984" s="155"/>
      <c r="B984" s="156"/>
      <c r="C984" s="157"/>
      <c r="D984" s="157"/>
      <c r="E984" s="158"/>
      <c r="F984" s="159"/>
    </row>
    <row r="985" spans="1:6" x14ac:dyDescent="0.2">
      <c r="A985" s="155"/>
      <c r="B985" s="156"/>
      <c r="C985" s="157"/>
      <c r="D985" s="157"/>
      <c r="E985" s="158"/>
      <c r="F985" s="159"/>
    </row>
    <row r="986" spans="1:6" x14ac:dyDescent="0.2">
      <c r="A986" s="155"/>
      <c r="B986" s="156"/>
      <c r="C986" s="157"/>
      <c r="D986" s="157"/>
      <c r="E986" s="158"/>
      <c r="F986" s="159"/>
    </row>
    <row r="987" spans="1:6" x14ac:dyDescent="0.2">
      <c r="A987" s="155"/>
      <c r="B987" s="156"/>
      <c r="C987" s="157"/>
      <c r="D987" s="157"/>
      <c r="E987" s="158"/>
      <c r="F987" s="159"/>
    </row>
    <row r="988" spans="1:6" x14ac:dyDescent="0.2">
      <c r="A988" s="155"/>
      <c r="B988" s="156"/>
      <c r="C988" s="157"/>
      <c r="D988" s="157"/>
      <c r="E988" s="158"/>
      <c r="F988" s="159"/>
    </row>
    <row r="989" spans="1:6" x14ac:dyDescent="0.2">
      <c r="A989" s="155"/>
      <c r="B989" s="156"/>
      <c r="C989" s="157"/>
      <c r="D989" s="157"/>
      <c r="E989" s="158"/>
      <c r="F989" s="159"/>
    </row>
    <row r="990" spans="1:6" x14ac:dyDescent="0.2">
      <c r="A990" s="155"/>
      <c r="B990" s="156"/>
      <c r="C990" s="157"/>
      <c r="D990" s="157"/>
      <c r="E990" s="158"/>
      <c r="F990" s="159"/>
    </row>
    <row r="991" spans="1:6" x14ac:dyDescent="0.2">
      <c r="A991" s="155"/>
      <c r="B991" s="156"/>
      <c r="C991" s="157"/>
      <c r="D991" s="157"/>
      <c r="E991" s="158"/>
      <c r="F991" s="159"/>
    </row>
    <row r="992" spans="1:6" x14ac:dyDescent="0.2">
      <c r="A992" s="155"/>
      <c r="B992" s="156"/>
      <c r="C992" s="157"/>
      <c r="D992" s="157"/>
      <c r="E992" s="158"/>
      <c r="F992" s="159"/>
    </row>
    <row r="993" spans="1:6" x14ac:dyDescent="0.2">
      <c r="A993" s="155"/>
      <c r="B993" s="156"/>
      <c r="C993" s="157"/>
      <c r="D993" s="157"/>
      <c r="E993" s="158"/>
      <c r="F993" s="159"/>
    </row>
    <row r="994" spans="1:6" x14ac:dyDescent="0.2">
      <c r="A994" s="155"/>
      <c r="B994" s="156"/>
      <c r="C994" s="157"/>
      <c r="D994" s="157"/>
      <c r="E994" s="158"/>
      <c r="F994" s="159"/>
    </row>
    <row r="995" spans="1:6" x14ac:dyDescent="0.2">
      <c r="A995" s="155"/>
      <c r="B995" s="156"/>
      <c r="C995" s="157"/>
      <c r="D995" s="157"/>
      <c r="E995" s="158"/>
      <c r="F995" s="159"/>
    </row>
    <row r="996" spans="1:6" x14ac:dyDescent="0.2">
      <c r="A996" s="155"/>
      <c r="B996" s="156"/>
      <c r="C996" s="157"/>
      <c r="D996" s="157"/>
      <c r="E996" s="158"/>
      <c r="F996" s="159"/>
    </row>
    <row r="997" spans="1:6" x14ac:dyDescent="0.2">
      <c r="A997" s="155"/>
      <c r="B997" s="156"/>
      <c r="C997" s="157"/>
      <c r="D997" s="157"/>
      <c r="E997" s="158"/>
      <c r="F997" s="159"/>
    </row>
    <row r="998" spans="1:6" x14ac:dyDescent="0.2">
      <c r="A998" s="155"/>
      <c r="B998" s="156"/>
      <c r="C998" s="157"/>
      <c r="D998" s="157"/>
      <c r="E998" s="158"/>
      <c r="F998" s="159"/>
    </row>
    <row r="999" spans="1:6" x14ac:dyDescent="0.2">
      <c r="A999" s="155"/>
      <c r="B999" s="156"/>
      <c r="C999" s="157"/>
      <c r="D999" s="157"/>
      <c r="E999" s="158"/>
      <c r="F999" s="159"/>
    </row>
    <row r="1000" spans="1:6" x14ac:dyDescent="0.2">
      <c r="A1000" s="155"/>
      <c r="B1000" s="156"/>
      <c r="C1000" s="157"/>
      <c r="D1000" s="157"/>
      <c r="E1000" s="158"/>
      <c r="F1000" s="159"/>
    </row>
    <row r="1001" spans="1:6" x14ac:dyDescent="0.2">
      <c r="A1001" s="155"/>
      <c r="B1001" s="156"/>
      <c r="C1001" s="157"/>
      <c r="D1001" s="157"/>
      <c r="E1001" s="158"/>
      <c r="F1001" s="159"/>
    </row>
    <row r="1002" spans="1:6" x14ac:dyDescent="0.2">
      <c r="A1002" s="155"/>
      <c r="B1002" s="156"/>
      <c r="C1002" s="157"/>
      <c r="D1002" s="157"/>
      <c r="E1002" s="158"/>
      <c r="F1002" s="159"/>
    </row>
    <row r="1003" spans="1:6" x14ac:dyDescent="0.2">
      <c r="A1003" s="155"/>
      <c r="B1003" s="156"/>
      <c r="C1003" s="157"/>
      <c r="D1003" s="157"/>
      <c r="E1003" s="158"/>
      <c r="F1003" s="159"/>
    </row>
  </sheetData>
  <sheetProtection algorithmName="SHA-512" hashValue="2QLFP5UwaVSGXQ9fwnC2QkHA/r3QzyK73Qa+aUknF+fV1miEJE4qgjFjOjMafLPMUFvwJ8seR4Zlh9tcVOyQ4w==" saltValue="od4Fy6JHGSL+KoT00slz5A==" spinCount="100000" sheet="1" formatCells="0" formatColumns="0" formatRows="0" insertColumns="0" insertRows="0" insertHyperlinks="0" deleteColumns="0" deleteRows="0" sort="0" autoFilter="0" pivotTables="0"/>
  <autoFilter ref="A10:A1003" xr:uid="{00000000-0009-0000-0000-000006000000}"/>
  <mergeCells count="10">
    <mergeCell ref="BE11:BE32"/>
    <mergeCell ref="K7:L7"/>
    <mergeCell ref="K8:L8"/>
    <mergeCell ref="B1:L1"/>
    <mergeCell ref="J6:L6"/>
    <mergeCell ref="A3:H8"/>
    <mergeCell ref="I3:I8"/>
    <mergeCell ref="K4:L4"/>
    <mergeCell ref="K5:L5"/>
    <mergeCell ref="A2:L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F1000"/>
  <sheetViews>
    <sheetView workbookViewId="0"/>
  </sheetViews>
  <sheetFormatPr baseColWidth="10" defaultColWidth="14.5" defaultRowHeight="15" customHeight="1" x14ac:dyDescent="0.2"/>
  <cols>
    <col min="1" max="4" width="8.6640625" customWidth="1"/>
    <col min="5" max="5" width="18" customWidth="1"/>
    <col min="6" max="26" width="8.6640625" customWidth="1"/>
  </cols>
  <sheetData>
    <row r="3" spans="2:6" x14ac:dyDescent="0.2">
      <c r="B3" s="4">
        <v>12</v>
      </c>
      <c r="C3" s="2">
        <v>16498</v>
      </c>
      <c r="D3" s="6">
        <v>0.90300000000000002</v>
      </c>
      <c r="E3" s="6">
        <f t="shared" ref="E3:E10" si="0">+C3*D3</f>
        <v>14897.694</v>
      </c>
      <c r="F3" s="4">
        <f>+C3/240</f>
        <v>68.74166666666666</v>
      </c>
    </row>
    <row r="4" spans="2:6" x14ac:dyDescent="0.2">
      <c r="B4" s="4">
        <v>8</v>
      </c>
      <c r="C4" s="2">
        <v>11489</v>
      </c>
      <c r="D4" s="6">
        <v>0.65500000000000003</v>
      </c>
      <c r="E4" s="6">
        <f t="shared" si="0"/>
        <v>7525.2950000000001</v>
      </c>
      <c r="F4" s="4">
        <f>+C4/360</f>
        <v>31.913888888888888</v>
      </c>
    </row>
    <row r="5" spans="2:6" x14ac:dyDescent="0.2">
      <c r="B5" s="4">
        <v>6</v>
      </c>
      <c r="C5" s="2">
        <v>3009</v>
      </c>
      <c r="D5" s="6">
        <v>0.52800000000000002</v>
      </c>
      <c r="E5" s="6">
        <f t="shared" si="0"/>
        <v>1588.7520000000002</v>
      </c>
      <c r="F5" s="4">
        <f t="shared" ref="F5:F6" si="1">+C5/240</f>
        <v>12.5375</v>
      </c>
    </row>
    <row r="6" spans="2:6" x14ac:dyDescent="0.2">
      <c r="B6" s="4" t="s">
        <v>128</v>
      </c>
      <c r="C6" s="2">
        <v>4635</v>
      </c>
      <c r="D6" s="6">
        <v>0.81</v>
      </c>
      <c r="E6" s="6">
        <f t="shared" si="0"/>
        <v>3754.3500000000004</v>
      </c>
      <c r="F6" s="4">
        <f t="shared" si="1"/>
        <v>19.3125</v>
      </c>
    </row>
    <row r="7" spans="2:6" x14ac:dyDescent="0.2">
      <c r="B7" s="4" t="s">
        <v>130</v>
      </c>
      <c r="C7" s="2">
        <v>2080</v>
      </c>
      <c r="D7" s="6">
        <v>0.55500000000000005</v>
      </c>
      <c r="E7" s="6">
        <f t="shared" si="0"/>
        <v>1154.4000000000001</v>
      </c>
      <c r="F7" s="4">
        <f t="shared" ref="F7:F8" si="2">+C7/360</f>
        <v>5.7777777777777777</v>
      </c>
    </row>
    <row r="8" spans="2:6" x14ac:dyDescent="0.2">
      <c r="B8" s="4" t="s">
        <v>132</v>
      </c>
      <c r="C8" s="2">
        <v>1185</v>
      </c>
      <c r="D8" s="6">
        <v>0.377</v>
      </c>
      <c r="E8" s="6">
        <f t="shared" si="0"/>
        <v>446.745</v>
      </c>
      <c r="F8" s="4">
        <f t="shared" si="2"/>
        <v>3.2916666666666665</v>
      </c>
    </row>
    <row r="9" spans="2:6" x14ac:dyDescent="0.2">
      <c r="B9" s="1" t="s">
        <v>134</v>
      </c>
      <c r="C9" s="2">
        <v>3518</v>
      </c>
      <c r="D9" s="6">
        <v>0.85199999999999998</v>
      </c>
      <c r="E9" s="6">
        <f t="shared" si="0"/>
        <v>2997.3359999999998</v>
      </c>
      <c r="F9" s="4">
        <f>+C9/240</f>
        <v>14.658333333333333</v>
      </c>
    </row>
    <row r="10" spans="2:6" x14ac:dyDescent="0.2">
      <c r="B10" s="1" t="s">
        <v>11</v>
      </c>
      <c r="C10" s="2">
        <v>6150</v>
      </c>
      <c r="D10" s="6">
        <v>1.1180000000000001</v>
      </c>
      <c r="E10" s="6">
        <f t="shared" si="0"/>
        <v>6875.7000000000007</v>
      </c>
      <c r="F10" s="4">
        <f>+C10/120</f>
        <v>51.25</v>
      </c>
    </row>
    <row r="11" spans="2:6" x14ac:dyDescent="0.2">
      <c r="B11" s="1"/>
      <c r="C11" s="88">
        <f>SUM(C3:C10)</f>
        <v>48564</v>
      </c>
      <c r="E11" s="6">
        <f t="shared" ref="E11:F11" si="3">SUM(E3:E10)</f>
        <v>39240.271999999997</v>
      </c>
      <c r="F11" s="4">
        <f t="shared" si="3"/>
        <v>207.48333333333329</v>
      </c>
    </row>
    <row r="12" spans="2:6" x14ac:dyDescent="0.2">
      <c r="E12" s="4">
        <v>9538</v>
      </c>
    </row>
    <row r="13" spans="2:6" x14ac:dyDescent="0.2">
      <c r="E13" s="6">
        <f>SUM(E11:E12)</f>
        <v>48778.271999999997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1000"/>
  <sheetViews>
    <sheetView workbookViewId="0"/>
  </sheetViews>
  <sheetFormatPr baseColWidth="10" defaultColWidth="14.5" defaultRowHeight="15" customHeight="1" x14ac:dyDescent="0.2"/>
  <cols>
    <col min="1" max="3" width="8.6640625" customWidth="1"/>
    <col min="4" max="4" width="9.33203125" customWidth="1"/>
    <col min="5" max="5" width="10.1640625" customWidth="1"/>
    <col min="6" max="26" width="8.6640625" customWidth="1"/>
  </cols>
  <sheetData>
    <row r="1" spans="2:6" x14ac:dyDescent="0.2">
      <c r="B1" s="4" t="s">
        <v>325</v>
      </c>
      <c r="C1" s="4" t="s">
        <v>326</v>
      </c>
      <c r="D1" s="4" t="s">
        <v>57</v>
      </c>
      <c r="F1" s="4" t="s">
        <v>327</v>
      </c>
    </row>
    <row r="3" spans="2:6" x14ac:dyDescent="0.2">
      <c r="B3" s="4">
        <v>12</v>
      </c>
      <c r="C3" s="4">
        <v>23338</v>
      </c>
      <c r="D3" s="1">
        <v>1.1399999999999999</v>
      </c>
      <c r="E3" s="1">
        <f t="shared" ref="E3:E11" si="0">+C3*D3</f>
        <v>26605.319999999996</v>
      </c>
      <c r="F3" s="4">
        <f>+C3/240</f>
        <v>97.24166666666666</v>
      </c>
    </row>
    <row r="4" spans="2:6" x14ac:dyDescent="0.2">
      <c r="B4" s="4">
        <v>8</v>
      </c>
      <c r="C4" s="4">
        <v>6948</v>
      </c>
      <c r="D4" s="1">
        <v>0.89500000000000002</v>
      </c>
      <c r="E4" s="1">
        <f t="shared" si="0"/>
        <v>6218.46</v>
      </c>
      <c r="F4" s="4">
        <f>+C4/360</f>
        <v>19.3</v>
      </c>
    </row>
    <row r="5" spans="2:6" x14ac:dyDescent="0.2">
      <c r="B5" s="4">
        <v>6</v>
      </c>
      <c r="C5" s="4">
        <v>1693</v>
      </c>
      <c r="D5" s="1">
        <v>0.68</v>
      </c>
      <c r="E5" s="1">
        <f t="shared" si="0"/>
        <v>1151.24</v>
      </c>
      <c r="F5" s="4">
        <f t="shared" ref="F5:F6" si="1">+C5/240</f>
        <v>7.0541666666666663</v>
      </c>
    </row>
    <row r="6" spans="2:6" x14ac:dyDescent="0.2">
      <c r="B6" s="4" t="s">
        <v>128</v>
      </c>
      <c r="C6" s="4">
        <v>1158</v>
      </c>
      <c r="D6" s="1">
        <v>1.05</v>
      </c>
      <c r="E6" s="1">
        <f t="shared" si="0"/>
        <v>1215.9000000000001</v>
      </c>
      <c r="F6" s="4">
        <f t="shared" si="1"/>
        <v>4.8250000000000002</v>
      </c>
    </row>
    <row r="7" spans="2:6" x14ac:dyDescent="0.2">
      <c r="B7" s="4" t="s">
        <v>130</v>
      </c>
      <c r="C7" s="4">
        <v>894</v>
      </c>
      <c r="D7" s="1">
        <v>0.79500000000000004</v>
      </c>
      <c r="E7" s="1">
        <f t="shared" si="0"/>
        <v>710.73</v>
      </c>
      <c r="F7" s="4">
        <f t="shared" ref="F7:F8" si="2">+C7/360</f>
        <v>2.4833333333333334</v>
      </c>
    </row>
    <row r="8" spans="2:6" x14ac:dyDescent="0.2">
      <c r="B8" s="4" t="s">
        <v>132</v>
      </c>
      <c r="C8" s="4">
        <v>435</v>
      </c>
      <c r="D8" s="1">
        <v>0.61699999999999999</v>
      </c>
      <c r="E8" s="1">
        <f t="shared" si="0"/>
        <v>268.39499999999998</v>
      </c>
      <c r="F8" s="4">
        <f t="shared" si="2"/>
        <v>1.2083333333333333</v>
      </c>
    </row>
    <row r="9" spans="2:6" x14ac:dyDescent="0.2">
      <c r="B9" s="4" t="s">
        <v>134</v>
      </c>
      <c r="C9" s="4">
        <v>2256</v>
      </c>
      <c r="D9" s="1">
        <v>1.0920000000000001</v>
      </c>
      <c r="E9" s="1">
        <f t="shared" si="0"/>
        <v>2463.5520000000001</v>
      </c>
      <c r="F9" s="4">
        <f>+C9/240</f>
        <v>9.4</v>
      </c>
    </row>
    <row r="10" spans="2:6" x14ac:dyDescent="0.2">
      <c r="B10" s="4" t="s">
        <v>11</v>
      </c>
      <c r="C10" s="4">
        <v>6030</v>
      </c>
      <c r="D10" s="1">
        <v>1.3580000000000001</v>
      </c>
      <c r="E10" s="1">
        <f t="shared" si="0"/>
        <v>8188.7400000000007</v>
      </c>
      <c r="F10" s="4">
        <f t="shared" ref="F10:F11" si="3">+C10/120</f>
        <v>50.25</v>
      </c>
    </row>
    <row r="11" spans="2:6" x14ac:dyDescent="0.2">
      <c r="B11" s="4" t="s">
        <v>328</v>
      </c>
      <c r="C11" s="4">
        <v>7455</v>
      </c>
      <c r="D11" s="1">
        <v>1.94</v>
      </c>
      <c r="E11" s="1">
        <f t="shared" si="0"/>
        <v>14462.699999999999</v>
      </c>
      <c r="F11" s="4">
        <f t="shared" si="3"/>
        <v>62.125</v>
      </c>
    </row>
    <row r="12" spans="2:6" x14ac:dyDescent="0.2">
      <c r="D12" s="1"/>
      <c r="E12" s="1"/>
    </row>
    <row r="13" spans="2:6" x14ac:dyDescent="0.2">
      <c r="C13" s="4">
        <f>SUM(C3:C11)</f>
        <v>50207</v>
      </c>
      <c r="D13" s="1"/>
      <c r="E13" s="1">
        <f t="shared" ref="E13:F13" si="4">SUM(E3:E11)</f>
        <v>61285.036999999997</v>
      </c>
      <c r="F13" s="4">
        <f t="shared" si="4"/>
        <v>253.88749999999999</v>
      </c>
    </row>
    <row r="14" spans="2:6" x14ac:dyDescent="0.2">
      <c r="D14" s="1"/>
      <c r="E14" s="1"/>
    </row>
    <row r="15" spans="2:6" x14ac:dyDescent="0.2">
      <c r="D15" s="1"/>
      <c r="E15" s="1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2018</vt:lpstr>
      <vt:lpstr>2019</vt:lpstr>
      <vt:lpstr>2020</vt:lpstr>
      <vt:lpstr>2021</vt:lpstr>
      <vt:lpstr>2022</vt:lpstr>
      <vt:lpstr>042825 Buying Guide</vt:lpstr>
      <vt:lpstr>inv2022jan1</vt:lpstr>
      <vt:lpstr>2023 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Wade</dc:creator>
  <cp:lastModifiedBy>Katie von Berg</cp:lastModifiedBy>
  <dcterms:created xsi:type="dcterms:W3CDTF">2017-12-13T01:24:39Z</dcterms:created>
  <dcterms:modified xsi:type="dcterms:W3CDTF">2025-04-21T19:58:04Z</dcterms:modified>
</cp:coreProperties>
</file>